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6450" tabRatio="956" activeTab="9"/>
  </bookViews>
  <sheets>
    <sheet name="Start" sheetId="1" r:id="rId1"/>
    <sheet name="D means" sheetId="2" r:id="rId2"/>
    <sheet name="D prop" sheetId="3" r:id="rId3"/>
    <sheet name="D rates" sheetId="4" r:id="rId4"/>
    <sheet name="C means" sheetId="5" r:id="rId5"/>
    <sheet name="C risk" sheetId="6" r:id="rId6"/>
    <sheet name="C rates" sheetId="7" r:id="rId7"/>
    <sheet name="Str any" sheetId="8" r:id="rId8"/>
    <sheet name="Str RR" sheetId="9" r:id="rId9"/>
    <sheet name="Str OR" sheetId="10" r:id="rId10"/>
    <sheet name="Str IRR" sheetId="11" r:id="rId11"/>
    <sheet name="MH OR" sheetId="12" r:id="rId12"/>
    <sheet name="Chisq" sheetId="13" r:id="rId13"/>
    <sheet name="Tables" sheetId="14" r:id="rId14"/>
  </sheets>
  <definedNames>
    <definedName name="_xlnm.Print_Area" localSheetId="4">'C means'!$A$1:$J$46</definedName>
    <definedName name="_xlnm.Print_Area" localSheetId="6">'C rates'!$A$1:$I$30</definedName>
    <definedName name="_xlnm.Print_Area" localSheetId="5">'C risk'!$A$1:$J$36</definedName>
    <definedName name="_xlnm.Print_Area" localSheetId="12">'Chisq'!$A$1:$M$69</definedName>
    <definedName name="_xlnm.Print_Area" localSheetId="1">'D means'!$A$1:$I$44</definedName>
    <definedName name="_xlnm.Print_Area" localSheetId="2">'D prop'!$A$1:$I$46</definedName>
    <definedName name="_xlnm.Print_Area" localSheetId="3">'D rates'!$A$1:$H$45</definedName>
    <definedName name="_xlnm.Print_Area" localSheetId="11">'MH OR'!$A$1:$I$57</definedName>
    <definedName name="_xlnm.Print_Area" localSheetId="7">'Str any'!$A$1:$F$38</definedName>
    <definedName name="_xlnm.Print_Area" localSheetId="10">'Str IRR'!$A$1:$I$57</definedName>
    <definedName name="_xlnm.Print_Area" localSheetId="9">'Str OR'!$A$1:$I$59</definedName>
    <definedName name="_xlnm.Print_Area" localSheetId="8">'Str RR'!$A$1:$I$52</definedName>
    <definedName name="_xlnm.Print_Area" localSheetId="13">'Tables'!$A$1:$I$42</definedName>
  </definedNames>
  <calcPr fullCalcOnLoad="1"/>
</workbook>
</file>

<file path=xl/sharedStrings.xml><?xml version="1.0" encoding="utf-8"?>
<sst xmlns="http://schemas.openxmlformats.org/spreadsheetml/2006/main" count="942" uniqueCount="238">
  <si>
    <t>+</t>
  </si>
  <si>
    <t>Cases</t>
  </si>
  <si>
    <t>Ktrl.</t>
  </si>
  <si>
    <t>OR</t>
  </si>
  <si>
    <t>SE</t>
  </si>
  <si>
    <t>CI</t>
  </si>
  <si>
    <t>Outcome</t>
  </si>
  <si>
    <t>RR</t>
  </si>
  <si>
    <t>W=1/se^2</t>
  </si>
  <si>
    <t>lnOR*W</t>
  </si>
  <si>
    <t>Events</t>
  </si>
  <si>
    <t>Time</t>
  </si>
  <si>
    <t>Rate</t>
  </si>
  <si>
    <t>per:</t>
  </si>
  <si>
    <t>IRR</t>
  </si>
  <si>
    <t>Chi^2</t>
  </si>
  <si>
    <t>per</t>
  </si>
  <si>
    <t>RD</t>
  </si>
  <si>
    <t>95% CI</t>
  </si>
  <si>
    <t>IRD</t>
  </si>
  <si>
    <t>lnRR*W</t>
  </si>
  <si>
    <t>lnIRR*W</t>
  </si>
  <si>
    <t>z =</t>
  </si>
  <si>
    <t>Chi^2 =</t>
  </si>
  <si>
    <t>Risk</t>
  </si>
  <si>
    <t>Stratified analysis</t>
  </si>
  <si>
    <t>Weighted estimate</t>
  </si>
  <si>
    <t>Crude RR</t>
  </si>
  <si>
    <t>Rates per</t>
  </si>
  <si>
    <t>P</t>
  </si>
  <si>
    <t>Q</t>
  </si>
  <si>
    <t>GP</t>
  </si>
  <si>
    <t>HQ</t>
  </si>
  <si>
    <t>x1</t>
  </si>
  <si>
    <t>x2</t>
  </si>
  <si>
    <t>x3</t>
  </si>
  <si>
    <t>GQ+HP</t>
  </si>
  <si>
    <t>N</t>
  </si>
  <si>
    <t>mean</t>
  </si>
  <si>
    <t>SD</t>
  </si>
  <si>
    <t>Exposed</t>
  </si>
  <si>
    <t>Means</t>
  </si>
  <si>
    <t>Descriptive statistics</t>
  </si>
  <si>
    <t>Proportions</t>
  </si>
  <si>
    <t>Odds</t>
  </si>
  <si>
    <t>Rates</t>
  </si>
  <si>
    <t>Stratified (Mantel-Haenszel)</t>
  </si>
  <si>
    <t>Simple comparison</t>
  </si>
  <si>
    <t>Mean</t>
  </si>
  <si>
    <t>z</t>
  </si>
  <si>
    <t>p</t>
  </si>
  <si>
    <t>Test for homogeneity</t>
  </si>
  <si>
    <t>df</t>
  </si>
  <si>
    <t xml:space="preserve">Chi^2  </t>
  </si>
  <si>
    <t>Total</t>
  </si>
  <si>
    <t>Homogen</t>
  </si>
  <si>
    <t>Crude estimate</t>
  </si>
  <si>
    <t>a1*b0/n</t>
  </si>
  <si>
    <t>a0*b1/n</t>
  </si>
  <si>
    <t>U</t>
  </si>
  <si>
    <t>E(a1)</t>
  </si>
  <si>
    <t>V</t>
  </si>
  <si>
    <t>df+1</t>
  </si>
  <si>
    <t>Test for OR=1 (M-H)</t>
  </si>
  <si>
    <t>S</t>
  </si>
  <si>
    <t>homogen</t>
  </si>
  <si>
    <t>Expected values</t>
  </si>
  <si>
    <t>Chi^2 from each cell</t>
  </si>
  <si>
    <t>Expected</t>
  </si>
  <si>
    <t xml:space="preserve">Rates per </t>
  </si>
  <si>
    <t>ln-transformed:</t>
  </si>
  <si>
    <t>t</t>
  </si>
  <si>
    <t>Find P-value from statistic</t>
  </si>
  <si>
    <t>z-distribution:</t>
  </si>
  <si>
    <t>t-distribution:</t>
  </si>
  <si>
    <t>Exact 95% CI</t>
  </si>
  <si>
    <t xml:space="preserve">       </t>
  </si>
  <si>
    <t>Approx. 95% CI</t>
  </si>
  <si>
    <t>b</t>
  </si>
  <si>
    <t>valid</t>
  </si>
  <si>
    <t>valid1</t>
  </si>
  <si>
    <t>valid2</t>
  </si>
  <si>
    <t>The sheets are write-protected, meaning that you cannot by mistake delete formula etc.</t>
  </si>
  <si>
    <t xml:space="preserve">You are allowed to write in the </t>
  </si>
  <si>
    <t>yellow</t>
  </si>
  <si>
    <t xml:space="preserve"> cells only.</t>
  </si>
  <si>
    <t>pl, ph</t>
  </si>
  <si>
    <t>Text</t>
  </si>
  <si>
    <t>rækker</t>
  </si>
  <si>
    <t>Søjler</t>
  </si>
  <si>
    <t>Forventet</t>
  </si>
  <si>
    <t>Deviation from trend</t>
  </si>
  <si>
    <t>sx</t>
  </si>
  <si>
    <t>sx2</t>
  </si>
  <si>
    <t>sy</t>
  </si>
  <si>
    <t>sy2</t>
  </si>
  <si>
    <t>sxy</t>
  </si>
  <si>
    <t>Pearson chi^2</t>
  </si>
  <si>
    <t>Chi^2 for trend</t>
  </si>
  <si>
    <t>Chi-square test</t>
  </si>
  <si>
    <t>The trend test is only relevant with ordinal (rank) scales.</t>
  </si>
  <si>
    <t>Irrelevant for case-control design</t>
  </si>
  <si>
    <t>(and so may the deviation from trend)</t>
  </si>
  <si>
    <t>Trend test may be irrelevant</t>
  </si>
  <si>
    <t>Cough and cigarette smoking</t>
  </si>
  <si>
    <t>Non-sm.</t>
  </si>
  <si>
    <t>Occas.</t>
  </si>
  <si>
    <t>Regular</t>
  </si>
  <si>
    <t>Cough</t>
  </si>
  <si>
    <t>No cough</t>
  </si>
  <si>
    <t>z-test:</t>
  </si>
  <si>
    <t>t-test; equal SDs:</t>
  </si>
  <si>
    <t>F(lower):</t>
  </si>
  <si>
    <t>F(upper):</t>
  </si>
  <si>
    <t>P(lower):</t>
  </si>
  <si>
    <t>P(upper):</t>
  </si>
  <si>
    <t>t-test; unequal SDs:</t>
  </si>
  <si>
    <t>Difference</t>
  </si>
  <si>
    <t>Test for equal SDs:</t>
  </si>
  <si>
    <t>(pooled SD)</t>
  </si>
  <si>
    <t>q</t>
  </si>
  <si>
    <t>odds</t>
  </si>
  <si>
    <t>Proportion:</t>
  </si>
  <si>
    <t>Odds:</t>
  </si>
  <si>
    <t>ln(Odds):</t>
  </si>
  <si>
    <t>Proportions per:</t>
  </si>
  <si>
    <t>Events:</t>
  </si>
  <si>
    <t>Observations:</t>
  </si>
  <si>
    <t>Estimate</t>
  </si>
  <si>
    <t>P =</t>
  </si>
  <si>
    <t>Ctrl.</t>
  </si>
  <si>
    <r>
      <t>χ</t>
    </r>
    <r>
      <rPr>
        <b/>
        <sz val="9"/>
        <rFont val="Arial"/>
        <family val="0"/>
      </rPr>
      <t>² distribution:</t>
    </r>
  </si>
  <si>
    <r>
      <t>χ</t>
    </r>
    <r>
      <rPr>
        <sz val="9"/>
        <rFont val="Arial"/>
        <family val="0"/>
      </rPr>
      <t>²</t>
    </r>
  </si>
  <si>
    <t>Chi-squared test</t>
  </si>
  <si>
    <t>Capillary density in the feet of ulcerated patients and healthy controls</t>
  </si>
  <si>
    <t>Premature delivery in relation to consumption of fish</t>
  </si>
  <si>
    <t>Smoking and hip fractures</t>
  </si>
  <si>
    <t>Exp.</t>
  </si>
  <si>
    <t>Relative risk</t>
  </si>
  <si>
    <t>Odds ratio</t>
  </si>
  <si>
    <t>Risk estimates are invalid for case-control designs</t>
  </si>
  <si>
    <t>Incidence rate ratio</t>
  </si>
  <si>
    <t>Rothman (1986, p.185)</t>
  </si>
  <si>
    <t>age &lt;65</t>
  </si>
  <si>
    <t>age 65+</t>
  </si>
  <si>
    <t>Male vs. female mortality; patients with trigeminal neuralgia</t>
  </si>
  <si>
    <t>Rothman &amp; Greenland (1998, p.225)</t>
  </si>
  <si>
    <t>Tolbutamide and mortality, stratified for age</t>
  </si>
  <si>
    <t>Age &lt; 55</t>
  </si>
  <si>
    <t>Age 55+</t>
  </si>
  <si>
    <t>Rothman &amp; Greenland (1998, p. 273)</t>
  </si>
  <si>
    <t>Spermicide use and Down's syndrome, stratified by maternal age</t>
  </si>
  <si>
    <t>Age 35+</t>
  </si>
  <si>
    <t>Age &lt; 35</t>
  </si>
  <si>
    <t>EpiBasic version 1.0</t>
  </si>
  <si>
    <t>http://www.biostat.au.dk/teaching/software</t>
  </si>
  <si>
    <t>EpiBasic may be downloaded from:</t>
  </si>
  <si>
    <t>You download two files:</t>
  </si>
  <si>
    <t>Find statistic from significance level</t>
  </si>
  <si>
    <t>two-sided P-values are used.</t>
  </si>
  <si>
    <t>d.f.</t>
  </si>
  <si>
    <t>Note:</t>
  </si>
  <si>
    <r>
      <t xml:space="preserve">For the z and t distributions and for the </t>
    </r>
    <r>
      <rPr>
        <b/>
        <sz val="10"/>
        <rFont val="Times New Roman"/>
        <family val="1"/>
      </rPr>
      <t>χ²</t>
    </r>
    <r>
      <rPr>
        <b/>
        <sz val="10"/>
        <rFont val="Arial"/>
        <family val="0"/>
      </rPr>
      <t xml:space="preserve"> distribution with 1 d.f.,</t>
    </r>
  </si>
  <si>
    <t>95% PI</t>
  </si>
  <si>
    <t>t(d.f.;0.05)</t>
  </si>
  <si>
    <t>t distribution</t>
  </si>
  <si>
    <t>Normal distribution</t>
  </si>
  <si>
    <t>D means</t>
  </si>
  <si>
    <t>D prop</t>
  </si>
  <si>
    <t>Description: Normal distribution</t>
  </si>
  <si>
    <t>Description: Proportions and odds</t>
  </si>
  <si>
    <t>D rates</t>
  </si>
  <si>
    <t>Description: Rates</t>
  </si>
  <si>
    <t>C means</t>
  </si>
  <si>
    <t>Comparison: Means</t>
  </si>
  <si>
    <t>C risk</t>
  </si>
  <si>
    <t>Rate ratio and rate difference</t>
  </si>
  <si>
    <t>Stratified analysis: odds ratio</t>
  </si>
  <si>
    <t>Strat RR</t>
  </si>
  <si>
    <t>Stratified analysis: relative risk</t>
  </si>
  <si>
    <t>Strat IRR</t>
  </si>
  <si>
    <t>Stratified analysis: rate ratio</t>
  </si>
  <si>
    <t>Comparison: Risk ratio, risk difference, odds ratio</t>
  </si>
  <si>
    <t>C rates</t>
  </si>
  <si>
    <t>MH OR</t>
  </si>
  <si>
    <t>Mantel-Haenszel stratified analysis: Odds ratio</t>
  </si>
  <si>
    <t>Chisq</t>
  </si>
  <si>
    <t>Weight</t>
  </si>
  <si>
    <t>Stratified analysis of any kind of estimate</t>
  </si>
  <si>
    <t>Str RR</t>
  </si>
  <si>
    <t>Str OR</t>
  </si>
  <si>
    <t>Str IRR</t>
  </si>
  <si>
    <t>Stratum</t>
  </si>
  <si>
    <t>Weight × estimate</t>
  </si>
  <si>
    <t>Males</t>
  </si>
  <si>
    <t>Females</t>
  </si>
  <si>
    <t>Sum</t>
  </si>
  <si>
    <t>Relative weight</t>
  </si>
  <si>
    <t>95% CI:</t>
  </si>
  <si>
    <t>Juul (2004, Table 8-4):</t>
  </si>
  <si>
    <t>Regression coefficients: Height and lung function, stratified by sex.</t>
  </si>
  <si>
    <t>Str any</t>
  </si>
  <si>
    <t>Each analysis page name has a prefix; the meaning is:</t>
  </si>
  <si>
    <r>
      <t xml:space="preserve">D:   </t>
    </r>
    <r>
      <rPr>
        <sz val="10"/>
        <rFont val="Arial"/>
        <family val="0"/>
      </rPr>
      <t xml:space="preserve">  Descriptive statistics</t>
    </r>
  </si>
  <si>
    <r>
      <t xml:space="preserve">C:   </t>
    </r>
    <r>
      <rPr>
        <sz val="10"/>
        <rFont val="Arial"/>
        <family val="0"/>
      </rPr>
      <t xml:space="preserve">  Comparative statistics</t>
    </r>
  </si>
  <si>
    <r>
      <t xml:space="preserve">Str: </t>
    </r>
    <r>
      <rPr>
        <sz val="10"/>
        <rFont val="Arial"/>
        <family val="0"/>
      </rPr>
      <t xml:space="preserve">  Stratified analysis</t>
    </r>
  </si>
  <si>
    <t>Comparison of the first two strata:</t>
  </si>
  <si>
    <t>Tables</t>
  </si>
  <si>
    <t>Statistical tables</t>
  </si>
  <si>
    <t>Bland (2000, Table 10.2)</t>
  </si>
  <si>
    <t>Juul (2004, Table 4-4)</t>
  </si>
  <si>
    <t>Juul (2004, Table 4-7)</t>
  </si>
  <si>
    <t>Bland (2000, table 13.12)</t>
  </si>
  <si>
    <t>Trend score:</t>
  </si>
  <si>
    <t>Trend score</t>
  </si>
  <si>
    <t>The trend scores are used for the trend test; you may change them yourself.</t>
  </si>
  <si>
    <t>WEIGHTED ESTIMATE:</t>
  </si>
  <si>
    <t>Hypothesis: OR =</t>
  </si>
  <si>
    <t>Start</t>
  </si>
  <si>
    <t>Test for OR =</t>
  </si>
  <si>
    <t>Overall test for homogeneity</t>
  </si>
  <si>
    <t>Test for homogeneity of two strata</t>
  </si>
  <si>
    <t>OR ratio</t>
  </si>
  <si>
    <t>SE ln(OR)</t>
  </si>
  <si>
    <t>Risk difference per</t>
  </si>
  <si>
    <t>Incidence rate difference per</t>
  </si>
  <si>
    <r>
      <t>MH:</t>
    </r>
    <r>
      <rPr>
        <sz val="10"/>
        <rFont val="Arial"/>
        <family val="0"/>
      </rPr>
      <t xml:space="preserve">  Stratified analysis a.m. Mantel-Haenszel</t>
    </r>
  </si>
  <si>
    <t>(means, differences, regression coefficients)</t>
  </si>
  <si>
    <t>In many sheets you find cells with</t>
  </si>
  <si>
    <t>italic</t>
  </si>
  <si>
    <t>typeface.</t>
  </si>
  <si>
    <t>They contain intermediate calculations on a log scale.</t>
  </si>
  <si>
    <t>EpiBasic.xls</t>
  </si>
  <si>
    <t>EpiBasic.pdf</t>
  </si>
  <si>
    <t xml:space="preserve"> (help and documentation)</t>
  </si>
  <si>
    <t xml:space="preserve"> (this workbook)</t>
  </si>
  <si>
    <t>Read more in EpiBasic.pdf.</t>
  </si>
  <si>
    <t>Svend Juul, December 2004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</si>
</sst>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0"/>
    <numFmt numFmtId="173" formatCode="0.00000"/>
    <numFmt numFmtId="174" formatCode="0.000"/>
    <numFmt numFmtId="175" formatCode="0.000000"/>
    <numFmt numFmtId="176" formatCode="#,##0.000"/>
    <numFmt numFmtId="177" formatCode="0.0000000"/>
    <numFmt numFmtId="178" formatCode="0.0"/>
    <numFmt numFmtId="179" formatCode="0E+00"/>
    <numFmt numFmtId="180" formatCode="0.0E+00"/>
    <numFmt numFmtId="181" formatCode="#,##0.0"/>
    <numFmt numFmtId="182" formatCode="_(* #,##0.0_);_(* \(#,##0.0\);_(* &quot;-&quot;??_);_(@_)"/>
    <numFmt numFmtId="183" formatCode="_(* #,##0_);_(* \(#,##0\);_(* &quot;-&quot;??_);_(@_)"/>
    <numFmt numFmtId="184" formatCode="#,##0.0000"/>
    <numFmt numFmtId="185" formatCode="00000"/>
    <numFmt numFmtId="186" formatCode="#,##0.00000"/>
    <numFmt numFmtId="187" formatCode="[$-809]dd\ mmmm\ yyyy"/>
  </numFmts>
  <fonts count="1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74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 horizontal="center"/>
    </xf>
    <xf numFmtId="172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72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175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7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75" fontId="0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3" fontId="9" fillId="2" borderId="2" xfId="0" applyNumberFormat="1" applyFont="1" applyFill="1" applyBorder="1" applyAlignment="1" applyProtection="1">
      <alignment horizontal="center"/>
      <protection locked="0"/>
    </xf>
    <xf numFmtId="173" fontId="9" fillId="0" borderId="0" xfId="0" applyNumberFormat="1" applyFont="1" applyBorder="1" applyAlignment="1">
      <alignment horizontal="center"/>
    </xf>
    <xf numFmtId="173" fontId="9" fillId="0" borderId="6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73" fontId="9" fillId="0" borderId="8" xfId="0" applyNumberFormat="1" applyFont="1" applyBorder="1" applyAlignment="1">
      <alignment horizontal="center"/>
    </xf>
    <xf numFmtId="173" fontId="9" fillId="0" borderId="9" xfId="0" applyNumberFormat="1" applyFont="1" applyBorder="1" applyAlignment="1">
      <alignment horizontal="center"/>
    </xf>
    <xf numFmtId="173" fontId="9" fillId="0" borderId="10" xfId="0" applyNumberFormat="1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3" fontId="9" fillId="0" borderId="8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75" fontId="10" fillId="0" borderId="0" xfId="0" applyNumberFormat="1" applyFont="1" applyBorder="1" applyAlignment="1">
      <alignment horizontal="left"/>
    </xf>
    <xf numFmtId="175" fontId="10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3" fontId="9" fillId="0" borderId="6" xfId="0" applyNumberFormat="1" applyFont="1" applyBorder="1" applyAlignment="1">
      <alignment horizontal="center"/>
    </xf>
    <xf numFmtId="0" fontId="9" fillId="0" borderId="5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175" fontId="9" fillId="0" borderId="13" xfId="0" applyNumberFormat="1" applyFont="1" applyBorder="1" applyAlignment="1">
      <alignment horizontal="center"/>
    </xf>
    <xf numFmtId="0" fontId="9" fillId="0" borderId="7" xfId="0" applyFont="1" applyBorder="1" applyAlignment="1">
      <alignment horizontal="right"/>
    </xf>
    <xf numFmtId="175" fontId="9" fillId="0" borderId="10" xfId="0" applyNumberFormat="1" applyFont="1" applyBorder="1" applyAlignment="1">
      <alignment horizontal="center"/>
    </xf>
    <xf numFmtId="175" fontId="10" fillId="0" borderId="0" xfId="0" applyNumberFormat="1" applyFont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3" fontId="9" fillId="3" borderId="14" xfId="0" applyNumberFormat="1" applyFont="1" applyFill="1" applyBorder="1" applyAlignment="1" applyProtection="1">
      <alignment horizontal="center"/>
      <protection locked="0"/>
    </xf>
    <xf numFmtId="186" fontId="9" fillId="3" borderId="15" xfId="0" applyNumberFormat="1" applyFont="1" applyFill="1" applyBorder="1" applyAlignment="1" applyProtection="1">
      <alignment horizontal="center"/>
      <protection locked="0"/>
    </xf>
    <xf numFmtId="186" fontId="9" fillId="3" borderId="14" xfId="0" applyNumberFormat="1" applyFont="1" applyFill="1" applyBorder="1" applyAlignment="1" applyProtection="1">
      <alignment horizontal="center"/>
      <protection locked="0"/>
    </xf>
    <xf numFmtId="173" fontId="9" fillId="0" borderId="15" xfId="0" applyNumberFormat="1" applyFont="1" applyBorder="1" applyAlignment="1">
      <alignment horizontal="center"/>
    </xf>
    <xf numFmtId="173" fontId="9" fillId="0" borderId="13" xfId="0" applyNumberFormat="1" applyFont="1" applyBorder="1" applyAlignment="1">
      <alignment horizontal="center"/>
    </xf>
    <xf numFmtId="3" fontId="9" fillId="3" borderId="8" xfId="0" applyNumberFormat="1" applyFont="1" applyFill="1" applyBorder="1" applyAlignment="1" applyProtection="1">
      <alignment horizontal="center"/>
      <protection locked="0"/>
    </xf>
    <xf numFmtId="186" fontId="9" fillId="3" borderId="9" xfId="0" applyNumberFormat="1" applyFont="1" applyFill="1" applyBorder="1" applyAlignment="1" applyProtection="1">
      <alignment horizontal="center"/>
      <protection locked="0"/>
    </xf>
    <xf numFmtId="186" fontId="9" fillId="3" borderId="8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left"/>
    </xf>
    <xf numFmtId="3" fontId="9" fillId="0" borderId="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186" fontId="9" fillId="0" borderId="15" xfId="0" applyNumberFormat="1" applyFont="1" applyBorder="1" applyAlignment="1">
      <alignment horizontal="center"/>
    </xf>
    <xf numFmtId="186" fontId="9" fillId="0" borderId="14" xfId="0" applyNumberFormat="1" applyFont="1" applyBorder="1" applyAlignment="1">
      <alignment horizontal="center"/>
    </xf>
    <xf numFmtId="186" fontId="9" fillId="0" borderId="13" xfId="0" applyNumberFormat="1" applyFont="1" applyBorder="1" applyAlignment="1">
      <alignment horizontal="center"/>
    </xf>
    <xf numFmtId="186" fontId="9" fillId="0" borderId="9" xfId="0" applyNumberFormat="1" applyFont="1" applyBorder="1" applyAlignment="1">
      <alignment horizontal="center"/>
    </xf>
    <xf numFmtId="186" fontId="9" fillId="0" borderId="8" xfId="0" applyNumberFormat="1" applyFont="1" applyBorder="1" applyAlignment="1">
      <alignment horizontal="center"/>
    </xf>
    <xf numFmtId="186" fontId="9" fillId="0" borderId="10" xfId="0" applyNumberFormat="1" applyFont="1" applyBorder="1" applyAlignment="1">
      <alignment horizontal="center"/>
    </xf>
    <xf numFmtId="173" fontId="9" fillId="0" borderId="9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174" fontId="9" fillId="0" borderId="3" xfId="0" applyNumberFormat="1" applyFont="1" applyBorder="1" applyAlignment="1">
      <alignment horizontal="center"/>
    </xf>
    <xf numFmtId="175" fontId="9" fillId="0" borderId="2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173" fontId="9" fillId="0" borderId="12" xfId="0" applyNumberFormat="1" applyFont="1" applyBorder="1" applyAlignment="1">
      <alignment horizontal="center"/>
    </xf>
    <xf numFmtId="173" fontId="9" fillId="0" borderId="14" xfId="0" applyNumberFormat="1" applyFont="1" applyBorder="1" applyAlignment="1">
      <alignment horizontal="center"/>
    </xf>
    <xf numFmtId="17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3" fontId="10" fillId="0" borderId="2" xfId="0" applyNumberFormat="1" applyFont="1" applyBorder="1" applyAlignment="1">
      <alignment horizontal="right"/>
    </xf>
    <xf numFmtId="173" fontId="9" fillId="0" borderId="3" xfId="0" applyNumberFormat="1" applyFont="1" applyBorder="1" applyAlignment="1">
      <alignment horizontal="center"/>
    </xf>
    <xf numFmtId="0" fontId="9" fillId="0" borderId="2" xfId="0" applyFont="1" applyBorder="1" applyAlignment="1">
      <alignment/>
    </xf>
    <xf numFmtId="173" fontId="9" fillId="0" borderId="4" xfId="0" applyNumberFormat="1" applyFont="1" applyBorder="1" applyAlignment="1">
      <alignment horizontal="center"/>
    </xf>
    <xf numFmtId="173" fontId="9" fillId="0" borderId="1" xfId="0" applyNumberFormat="1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175" fontId="9" fillId="0" borderId="4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2" fontId="9" fillId="2" borderId="16" xfId="0" applyNumberFormat="1" applyFont="1" applyFill="1" applyBorder="1" applyAlignment="1" applyProtection="1">
      <alignment horizontal="center"/>
      <protection locked="0"/>
    </xf>
    <xf numFmtId="2" fontId="9" fillId="2" borderId="17" xfId="0" applyNumberFormat="1" applyFont="1" applyFill="1" applyBorder="1" applyAlignment="1" applyProtection="1">
      <alignment horizontal="center"/>
      <protection locked="0"/>
    </xf>
    <xf numFmtId="2" fontId="9" fillId="2" borderId="18" xfId="0" applyNumberFormat="1" applyFont="1" applyFill="1" applyBorder="1" applyAlignment="1" applyProtection="1">
      <alignment horizontal="center"/>
      <protection locked="0"/>
    </xf>
    <xf numFmtId="49" fontId="9" fillId="0" borderId="2" xfId="0" applyNumberFormat="1" applyFont="1" applyBorder="1" applyAlignment="1">
      <alignment horizontal="center"/>
    </xf>
    <xf numFmtId="49" fontId="9" fillId="2" borderId="19" xfId="0" applyNumberFormat="1" applyFont="1" applyFill="1" applyBorder="1" applyAlignment="1" applyProtection="1">
      <alignment horizontal="center"/>
      <protection locked="0"/>
    </xf>
    <xf numFmtId="49" fontId="9" fillId="2" borderId="20" xfId="0" applyNumberFormat="1" applyFont="1" applyFill="1" applyBorder="1" applyAlignment="1" applyProtection="1">
      <alignment horizontal="center"/>
      <protection locked="0"/>
    </xf>
    <xf numFmtId="49" fontId="9" fillId="2" borderId="21" xfId="0" applyNumberFormat="1" applyFont="1" applyFill="1" applyBorder="1" applyAlignment="1" applyProtection="1">
      <alignment horizontal="center"/>
      <protection locked="0"/>
    </xf>
    <xf numFmtId="2" fontId="9" fillId="2" borderId="22" xfId="0" applyNumberFormat="1" applyFont="1" applyFill="1" applyBorder="1" applyAlignment="1" applyProtection="1">
      <alignment horizontal="center"/>
      <protection locked="0"/>
    </xf>
    <xf numFmtId="49" fontId="9" fillId="2" borderId="23" xfId="0" applyNumberFormat="1" applyFont="1" applyFill="1" applyBorder="1" applyAlignment="1" applyProtection="1">
      <alignment horizontal="center"/>
      <protection locked="0"/>
    </xf>
    <xf numFmtId="1" fontId="9" fillId="0" borderId="24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2" fontId="9" fillId="2" borderId="25" xfId="0" applyNumberFormat="1" applyFont="1" applyFill="1" applyBorder="1" applyAlignment="1" applyProtection="1">
      <alignment horizontal="center"/>
      <protection locked="0"/>
    </xf>
    <xf numFmtId="49" fontId="9" fillId="2" borderId="26" xfId="0" applyNumberFormat="1" applyFont="1" applyFill="1" applyBorder="1" applyAlignment="1" applyProtection="1">
      <alignment horizontal="center"/>
      <protection locked="0"/>
    </xf>
    <xf numFmtId="1" fontId="9" fillId="2" borderId="27" xfId="0" applyNumberFormat="1" applyFont="1" applyFill="1" applyBorder="1" applyAlignment="1" applyProtection="1">
      <alignment horizontal="center"/>
      <protection locked="0"/>
    </xf>
    <xf numFmtId="2" fontId="9" fillId="2" borderId="28" xfId="0" applyNumberFormat="1" applyFont="1" applyFill="1" applyBorder="1" applyAlignment="1" applyProtection="1">
      <alignment horizontal="center"/>
      <protection locked="0"/>
    </xf>
    <xf numFmtId="49" fontId="9" fillId="2" borderId="29" xfId="0" applyNumberFormat="1" applyFont="1" applyFill="1" applyBorder="1" applyAlignment="1" applyProtection="1">
      <alignment horizontal="center"/>
      <protection locked="0"/>
    </xf>
    <xf numFmtId="1" fontId="9" fillId="0" borderId="30" xfId="0" applyNumberFormat="1" applyFont="1" applyBorder="1" applyAlignment="1">
      <alignment horizontal="center"/>
    </xf>
    <xf numFmtId="1" fontId="9" fillId="0" borderId="31" xfId="0" applyNumberFormat="1" applyFont="1" applyBorder="1" applyAlignment="1">
      <alignment horizontal="center"/>
    </xf>
    <xf numFmtId="1" fontId="9" fillId="0" borderId="32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4" fontId="9" fillId="0" borderId="5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75" fontId="9" fillId="0" borderId="6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2" fontId="9" fillId="0" borderId="7" xfId="0" applyNumberFormat="1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0" fontId="9" fillId="0" borderId="5" xfId="0" applyFont="1" applyBorder="1" applyAlignment="1">
      <alignment/>
    </xf>
    <xf numFmtId="0" fontId="9" fillId="0" borderId="0" xfId="0" applyFont="1" applyAlignment="1">
      <alignment/>
    </xf>
    <xf numFmtId="1" fontId="9" fillId="2" borderId="33" xfId="0" applyNumberFormat="1" applyFont="1" applyFill="1" applyBorder="1" applyAlignment="1" applyProtection="1">
      <alignment horizontal="center"/>
      <protection locked="0"/>
    </xf>
    <xf numFmtId="1" fontId="9" fillId="2" borderId="34" xfId="0" applyNumberFormat="1" applyFont="1" applyFill="1" applyBorder="1" applyAlignment="1" applyProtection="1">
      <alignment horizontal="center"/>
      <protection locked="0"/>
    </xf>
    <xf numFmtId="1" fontId="9" fillId="2" borderId="35" xfId="0" applyNumberFormat="1" applyFont="1" applyFill="1" applyBorder="1" applyAlignment="1" applyProtection="1">
      <alignment horizontal="center"/>
      <protection locked="0"/>
    </xf>
    <xf numFmtId="1" fontId="9" fillId="2" borderId="36" xfId="0" applyNumberFormat="1" applyFont="1" applyFill="1" applyBorder="1" applyAlignment="1" applyProtection="1">
      <alignment horizontal="center"/>
      <protection locked="0"/>
    </xf>
    <xf numFmtId="1" fontId="9" fillId="2" borderId="37" xfId="0" applyNumberFormat="1" applyFont="1" applyFill="1" applyBorder="1" applyAlignment="1" applyProtection="1">
      <alignment horizontal="center"/>
      <protection locked="0"/>
    </xf>
    <xf numFmtId="1" fontId="9" fillId="2" borderId="38" xfId="0" applyNumberFormat="1" applyFont="1" applyFill="1" applyBorder="1" applyAlignment="1" applyProtection="1">
      <alignment horizontal="center"/>
      <protection locked="0"/>
    </xf>
    <xf numFmtId="1" fontId="9" fillId="2" borderId="39" xfId="0" applyNumberFormat="1" applyFont="1" applyFill="1" applyBorder="1" applyAlignment="1" applyProtection="1">
      <alignment horizontal="center"/>
      <protection locked="0"/>
    </xf>
    <xf numFmtId="1" fontId="9" fillId="2" borderId="4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176" fontId="9" fillId="0" borderId="8" xfId="0" applyNumberFormat="1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176" fontId="9" fillId="0" borderId="1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10" fillId="0" borderId="0" xfId="0" applyFont="1" applyAlignment="1">
      <alignment horizontal="left"/>
    </xf>
    <xf numFmtId="176" fontId="9" fillId="0" borderId="4" xfId="0" applyNumberFormat="1" applyFont="1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3" borderId="0" xfId="0" applyFont="1" applyFill="1" applyAlignment="1" applyProtection="1">
      <alignment horizontal="center"/>
      <protection/>
    </xf>
    <xf numFmtId="0" fontId="11" fillId="0" borderId="2" xfId="0" applyFont="1" applyBorder="1" applyAlignment="1">
      <alignment horizontal="center" vertical="center" wrapText="1"/>
    </xf>
    <xf numFmtId="176" fontId="11" fillId="3" borderId="8" xfId="0" applyNumberFormat="1" applyFont="1" applyFill="1" applyBorder="1" applyAlignment="1">
      <alignment horizontal="center" vertical="center"/>
    </xf>
    <xf numFmtId="172" fontId="11" fillId="0" borderId="0" xfId="0" applyNumberFormat="1" applyFont="1" applyBorder="1" applyAlignment="1">
      <alignment horizontal="center"/>
    </xf>
    <xf numFmtId="184" fontId="11" fillId="0" borderId="0" xfId="0" applyNumberFormat="1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2" borderId="33" xfId="0" applyFont="1" applyFill="1" applyBorder="1" applyAlignment="1" applyProtection="1">
      <alignment horizontal="center"/>
      <protection locked="0"/>
    </xf>
    <xf numFmtId="0" fontId="9" fillId="2" borderId="35" xfId="0" applyFont="1" applyFill="1" applyBorder="1" applyAlignment="1" applyProtection="1">
      <alignment horizontal="center"/>
      <protection locked="0"/>
    </xf>
    <xf numFmtId="2" fontId="9" fillId="0" borderId="11" xfId="0" applyNumberFormat="1" applyFont="1" applyBorder="1" applyAlignment="1">
      <alignment horizontal="center"/>
    </xf>
    <xf numFmtId="172" fontId="9" fillId="0" borderId="5" xfId="0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0" fontId="9" fillId="2" borderId="38" xfId="0" applyFont="1" applyFill="1" applyBorder="1" applyAlignment="1" applyProtection="1">
      <alignment horizontal="center"/>
      <protection locked="0"/>
    </xf>
    <xf numFmtId="0" fontId="9" fillId="2" borderId="40" xfId="0" applyFont="1" applyFill="1" applyBorder="1" applyAlignment="1" applyProtection="1">
      <alignment horizontal="center"/>
      <protection locked="0"/>
    </xf>
    <xf numFmtId="4" fontId="9" fillId="0" borderId="6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172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9" fillId="0" borderId="4" xfId="0" applyNumberFormat="1" applyFont="1" applyBorder="1" applyAlignment="1">
      <alignment horizontal="center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72" fontId="9" fillId="0" borderId="0" xfId="0" applyNumberFormat="1" applyFont="1" applyAlignment="1">
      <alignment/>
    </xf>
    <xf numFmtId="172" fontId="11" fillId="0" borderId="0" xfId="0" applyNumberFormat="1" applyFont="1" applyAlignment="1">
      <alignment horizontal="center"/>
    </xf>
    <xf numFmtId="173" fontId="9" fillId="0" borderId="0" xfId="0" applyNumberFormat="1" applyFont="1" applyAlignment="1">
      <alignment/>
    </xf>
    <xf numFmtId="2" fontId="9" fillId="0" borderId="0" xfId="0" applyNumberFormat="1" applyFont="1" applyBorder="1" applyAlignment="1">
      <alignment horizontal="center"/>
    </xf>
    <xf numFmtId="175" fontId="9" fillId="0" borderId="0" xfId="0" applyNumberFormat="1" applyFont="1" applyAlignment="1">
      <alignment horizontal="left"/>
    </xf>
    <xf numFmtId="172" fontId="9" fillId="0" borderId="0" xfId="0" applyNumberFormat="1" applyFont="1" applyAlignment="1">
      <alignment horizontal="left"/>
    </xf>
    <xf numFmtId="2" fontId="9" fillId="0" borderId="33" xfId="0" applyNumberFormat="1" applyFont="1" applyBorder="1" applyAlignment="1">
      <alignment horizontal="center"/>
    </xf>
    <xf numFmtId="2" fontId="9" fillId="0" borderId="35" xfId="0" applyNumberFormat="1" applyFont="1" applyBorder="1" applyAlignment="1">
      <alignment horizontal="center"/>
    </xf>
    <xf numFmtId="2" fontId="9" fillId="0" borderId="38" xfId="0" applyNumberFormat="1" applyFont="1" applyBorder="1" applyAlignment="1">
      <alignment horizontal="center"/>
    </xf>
    <xf numFmtId="2" fontId="9" fillId="0" borderId="40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left"/>
    </xf>
    <xf numFmtId="3" fontId="9" fillId="2" borderId="33" xfId="0" applyNumberFormat="1" applyFont="1" applyFill="1" applyBorder="1" applyAlignment="1" applyProtection="1">
      <alignment horizontal="center"/>
      <protection locked="0"/>
    </xf>
    <xf numFmtId="4" fontId="9" fillId="2" borderId="35" xfId="0" applyNumberFormat="1" applyFont="1" applyFill="1" applyBorder="1" applyAlignment="1" applyProtection="1">
      <alignment horizontal="right"/>
      <protection locked="0"/>
    </xf>
    <xf numFmtId="4" fontId="9" fillId="0" borderId="11" xfId="0" applyNumberFormat="1" applyFont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3" fontId="9" fillId="2" borderId="38" xfId="0" applyNumberFormat="1" applyFont="1" applyFill="1" applyBorder="1" applyAlignment="1" applyProtection="1">
      <alignment horizontal="center"/>
      <protection locked="0"/>
    </xf>
    <xf numFmtId="4" fontId="9" fillId="2" borderId="40" xfId="0" applyNumberFormat="1" applyFont="1" applyFill="1" applyBorder="1" applyAlignment="1" applyProtection="1">
      <alignment horizontal="right"/>
      <protection locked="0"/>
    </xf>
    <xf numFmtId="4" fontId="9" fillId="0" borderId="7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right"/>
    </xf>
    <xf numFmtId="4" fontId="9" fillId="0" borderId="2" xfId="0" applyNumberFormat="1" applyFont="1" applyBorder="1" applyAlignment="1">
      <alignment horizontal="center"/>
    </xf>
    <xf numFmtId="3" fontId="9" fillId="2" borderId="8" xfId="0" applyNumberFormat="1" applyFont="1" applyFill="1" applyBorder="1" applyAlignment="1" applyProtection="1">
      <alignment horizontal="center"/>
      <protection locked="0"/>
    </xf>
    <xf numFmtId="173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right"/>
    </xf>
    <xf numFmtId="172" fontId="9" fillId="0" borderId="0" xfId="0" applyNumberFormat="1" applyFont="1" applyAlignment="1">
      <alignment horizontal="center"/>
    </xf>
    <xf numFmtId="175" fontId="10" fillId="0" borderId="0" xfId="0" applyNumberFormat="1" applyFont="1" applyAlignment="1">
      <alignment horizontal="left"/>
    </xf>
    <xf numFmtId="0" fontId="9" fillId="2" borderId="7" xfId="0" applyFont="1" applyFill="1" applyBorder="1" applyAlignment="1" applyProtection="1">
      <alignment horizontal="left"/>
      <protection locked="0"/>
    </xf>
    <xf numFmtId="0" fontId="9" fillId="2" borderId="9" xfId="0" applyFont="1" applyFill="1" applyBorder="1" applyAlignment="1" applyProtection="1">
      <alignment horizontal="left"/>
      <protection locked="0"/>
    </xf>
    <xf numFmtId="0" fontId="9" fillId="2" borderId="1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>
      <alignment horizontal="left"/>
    </xf>
    <xf numFmtId="174" fontId="9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74" fontId="9" fillId="0" borderId="2" xfId="0" applyNumberFormat="1" applyFont="1" applyBorder="1" applyAlignment="1">
      <alignment horizontal="center"/>
    </xf>
    <xf numFmtId="174" fontId="9" fillId="0" borderId="0" xfId="0" applyNumberFormat="1" applyFont="1" applyBorder="1" applyAlignment="1">
      <alignment horizontal="center"/>
    </xf>
    <xf numFmtId="175" fontId="9" fillId="0" borderId="2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172" fontId="9" fillId="0" borderId="0" xfId="0" applyNumberFormat="1" applyFont="1" applyBorder="1" applyAlignment="1">
      <alignment horizontal="left"/>
    </xf>
    <xf numFmtId="2" fontId="10" fillId="0" borderId="10" xfId="0" applyNumberFormat="1" applyFont="1" applyBorder="1" applyAlignment="1">
      <alignment horizontal="center"/>
    </xf>
    <xf numFmtId="172" fontId="9" fillId="0" borderId="2" xfId="0" applyNumberFormat="1" applyFont="1" applyBorder="1" applyAlignment="1">
      <alignment horizontal="center"/>
    </xf>
    <xf numFmtId="0" fontId="9" fillId="0" borderId="33" xfId="0" applyFont="1" applyFill="1" applyBorder="1" applyAlignment="1" applyProtection="1">
      <alignment horizontal="center"/>
      <protection/>
    </xf>
    <xf numFmtId="0" fontId="9" fillId="0" borderId="35" xfId="0" applyFont="1" applyFill="1" applyBorder="1" applyAlignment="1" applyProtection="1">
      <alignment horizontal="center"/>
      <protection/>
    </xf>
    <xf numFmtId="2" fontId="10" fillId="0" borderId="5" xfId="0" applyNumberFormat="1" applyFont="1" applyBorder="1" applyAlignment="1">
      <alignment horizontal="center"/>
    </xf>
    <xf numFmtId="0" fontId="9" fillId="0" borderId="38" xfId="0" applyFont="1" applyFill="1" applyBorder="1" applyAlignment="1" applyProtection="1">
      <alignment horizontal="center"/>
      <protection/>
    </xf>
    <xf numFmtId="0" fontId="9" fillId="0" borderId="40" xfId="0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176" fontId="9" fillId="0" borderId="0" xfId="0" applyNumberFormat="1" applyFont="1" applyBorder="1" applyAlignment="1">
      <alignment horizontal="center"/>
    </xf>
    <xf numFmtId="176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left"/>
    </xf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2" fontId="9" fillId="0" borderId="7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72" fontId="1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72" fontId="11" fillId="0" borderId="0" xfId="0" applyNumberFormat="1" applyFont="1" applyAlignment="1">
      <alignment/>
    </xf>
    <xf numFmtId="0" fontId="10" fillId="0" borderId="0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2" fontId="10" fillId="0" borderId="12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0" fontId="9" fillId="0" borderId="0" xfId="0" applyFont="1" applyFill="1" applyAlignment="1" applyProtection="1">
      <alignment/>
      <protection/>
    </xf>
    <xf numFmtId="4" fontId="9" fillId="0" borderId="14" xfId="0" applyNumberFormat="1" applyFont="1" applyBorder="1" applyAlignment="1">
      <alignment horizontal="center"/>
    </xf>
    <xf numFmtId="4" fontId="9" fillId="0" borderId="8" xfId="0" applyNumberFormat="1" applyFont="1" applyBorder="1" applyAlignment="1">
      <alignment horizontal="center"/>
    </xf>
    <xf numFmtId="4" fontId="9" fillId="0" borderId="3" xfId="15" applyNumberFormat="1" applyFont="1" applyBorder="1" applyAlignment="1">
      <alignment horizontal="right"/>
    </xf>
    <xf numFmtId="171" fontId="9" fillId="0" borderId="0" xfId="15" applyFont="1" applyAlignment="1">
      <alignment horizontal="right"/>
    </xf>
    <xf numFmtId="171" fontId="9" fillId="0" borderId="0" xfId="15" applyFont="1" applyAlignment="1">
      <alignment horizontal="center"/>
    </xf>
    <xf numFmtId="171" fontId="9" fillId="0" borderId="3" xfId="15" applyFont="1" applyBorder="1" applyAlignment="1">
      <alignment horizontal="center"/>
    </xf>
    <xf numFmtId="3" fontId="9" fillId="0" borderId="0" xfId="0" applyNumberFormat="1" applyFont="1" applyFill="1" applyBorder="1" applyAlignment="1" applyProtection="1">
      <alignment horizontal="center"/>
      <protection/>
    </xf>
    <xf numFmtId="39" fontId="9" fillId="0" borderId="0" xfId="15" applyNumberFormat="1" applyFont="1" applyAlignment="1">
      <alignment horizontal="center"/>
    </xf>
    <xf numFmtId="171" fontId="9" fillId="0" borderId="0" xfId="15" applyFont="1" applyBorder="1" applyAlignment="1">
      <alignment horizontal="center"/>
    </xf>
    <xf numFmtId="175" fontId="9" fillId="0" borderId="0" xfId="0" applyNumberFormat="1" applyFont="1" applyBorder="1" applyAlignment="1">
      <alignment horizontal="left"/>
    </xf>
    <xf numFmtId="171" fontId="9" fillId="0" borderId="0" xfId="15" applyFont="1" applyBorder="1" applyAlignment="1">
      <alignment/>
    </xf>
    <xf numFmtId="171" fontId="9" fillId="0" borderId="0" xfId="15" applyFont="1" applyAlignment="1">
      <alignment/>
    </xf>
    <xf numFmtId="174" fontId="9" fillId="0" borderId="0" xfId="0" applyNumberFormat="1" applyFont="1" applyAlignment="1">
      <alignment horizontal="right"/>
    </xf>
    <xf numFmtId="3" fontId="9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Alignment="1">
      <alignment/>
    </xf>
    <xf numFmtId="0" fontId="9" fillId="3" borderId="2" xfId="0" applyFont="1" applyFill="1" applyBorder="1" applyAlignment="1" applyProtection="1">
      <alignment horizontal="center"/>
      <protection/>
    </xf>
    <xf numFmtId="0" fontId="9" fillId="2" borderId="41" xfId="0" applyFont="1" applyFill="1" applyBorder="1" applyAlignment="1" applyProtection="1">
      <alignment horizontal="center"/>
      <protection locked="0"/>
    </xf>
    <xf numFmtId="175" fontId="9" fillId="3" borderId="41" xfId="0" applyNumberFormat="1" applyFont="1" applyFill="1" applyBorder="1" applyAlignment="1" applyProtection="1">
      <alignment horizontal="center"/>
      <protection/>
    </xf>
    <xf numFmtId="9" fontId="9" fillId="2" borderId="42" xfId="0" applyNumberFormat="1" applyFont="1" applyFill="1" applyBorder="1" applyAlignment="1" applyProtection="1">
      <alignment horizontal="center"/>
      <protection locked="0"/>
    </xf>
    <xf numFmtId="0" fontId="9" fillId="0" borderId="41" xfId="0" applyFont="1" applyBorder="1" applyAlignment="1">
      <alignment horizontal="center"/>
    </xf>
    <xf numFmtId="0" fontId="9" fillId="2" borderId="25" xfId="0" applyFont="1" applyFill="1" applyBorder="1" applyAlignment="1" applyProtection="1">
      <alignment horizontal="center"/>
      <protection locked="0"/>
    </xf>
    <xf numFmtId="9" fontId="9" fillId="2" borderId="43" xfId="0" applyNumberFormat="1" applyFont="1" applyFill="1" applyBorder="1" applyAlignment="1" applyProtection="1">
      <alignment horizontal="center"/>
      <protection locked="0"/>
    </xf>
    <xf numFmtId="0" fontId="9" fillId="0" borderId="25" xfId="0" applyFont="1" applyBorder="1" applyAlignment="1">
      <alignment horizontal="center"/>
    </xf>
    <xf numFmtId="0" fontId="9" fillId="2" borderId="43" xfId="0" applyFont="1" applyFill="1" applyBorder="1" applyAlignment="1" applyProtection="1">
      <alignment horizontal="center"/>
      <protection locked="0"/>
    </xf>
    <xf numFmtId="0" fontId="9" fillId="2" borderId="28" xfId="0" applyFont="1" applyFill="1" applyBorder="1" applyAlignment="1" applyProtection="1">
      <alignment horizontal="center"/>
      <protection locked="0"/>
    </xf>
    <xf numFmtId="175" fontId="9" fillId="3" borderId="8" xfId="0" applyNumberFormat="1" applyFont="1" applyFill="1" applyBorder="1" applyAlignment="1" applyProtection="1">
      <alignment horizontal="center"/>
      <protection/>
    </xf>
    <xf numFmtId="0" fontId="9" fillId="2" borderId="44" xfId="0" applyFont="1" applyFill="1" applyBorder="1" applyAlignment="1" applyProtection="1">
      <alignment horizontal="center"/>
      <protection locked="0"/>
    </xf>
    <xf numFmtId="0" fontId="9" fillId="0" borderId="28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9" fillId="2" borderId="47" xfId="0" applyFont="1" applyFill="1" applyBorder="1" applyAlignment="1" applyProtection="1">
      <alignment horizontal="center"/>
      <protection locked="0"/>
    </xf>
    <xf numFmtId="0" fontId="9" fillId="2" borderId="22" xfId="0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>
      <alignment horizontal="center"/>
    </xf>
    <xf numFmtId="9" fontId="9" fillId="2" borderId="47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9" fillId="0" borderId="48" xfId="0" applyFont="1" applyBorder="1" applyAlignment="1">
      <alignment/>
    </xf>
    <xf numFmtId="0" fontId="9" fillId="0" borderId="48" xfId="0" applyFont="1" applyBorder="1" applyAlignment="1">
      <alignment horizontal="center"/>
    </xf>
    <xf numFmtId="3" fontId="9" fillId="0" borderId="48" xfId="0" applyNumberFormat="1" applyFont="1" applyBorder="1" applyAlignment="1">
      <alignment horizontal="center"/>
    </xf>
    <xf numFmtId="2" fontId="9" fillId="0" borderId="48" xfId="0" applyNumberFormat="1" applyFont="1" applyBorder="1" applyAlignment="1">
      <alignment horizontal="center"/>
    </xf>
    <xf numFmtId="3" fontId="9" fillId="0" borderId="48" xfId="0" applyNumberFormat="1" applyFont="1" applyBorder="1" applyAlignment="1">
      <alignment/>
    </xf>
    <xf numFmtId="0" fontId="9" fillId="0" borderId="49" xfId="0" applyFont="1" applyBorder="1" applyAlignment="1">
      <alignment horizontal="center"/>
    </xf>
    <xf numFmtId="0" fontId="9" fillId="0" borderId="49" xfId="0" applyFont="1" applyBorder="1" applyAlignment="1">
      <alignment/>
    </xf>
    <xf numFmtId="0" fontId="0" fillId="0" borderId="50" xfId="0" applyBorder="1" applyAlignment="1">
      <alignment/>
    </xf>
    <xf numFmtId="0" fontId="9" fillId="0" borderId="5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/>
    </xf>
    <xf numFmtId="4" fontId="9" fillId="2" borderId="35" xfId="15" applyNumberFormat="1" applyFont="1" applyFill="1" applyBorder="1" applyAlignment="1" applyProtection="1">
      <alignment horizontal="center"/>
      <protection locked="0"/>
    </xf>
    <xf numFmtId="4" fontId="9" fillId="2" borderId="40" xfId="15" applyNumberFormat="1" applyFont="1" applyFill="1" applyBorder="1" applyAlignment="1" applyProtection="1">
      <alignment horizontal="center"/>
      <protection locked="0"/>
    </xf>
    <xf numFmtId="4" fontId="9" fillId="0" borderId="3" xfId="15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10" xfId="0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9" fillId="2" borderId="41" xfId="0" applyNumberFormat="1" applyFont="1" applyFill="1" applyBorder="1" applyAlignment="1" applyProtection="1">
      <alignment horizontal="center"/>
      <protection locked="0"/>
    </xf>
    <xf numFmtId="0" fontId="9" fillId="2" borderId="25" xfId="0" applyNumberFormat="1" applyFont="1" applyFill="1" applyBorder="1" applyAlignment="1" applyProtection="1">
      <alignment horizontal="center"/>
      <protection locked="0"/>
    </xf>
    <xf numFmtId="0" fontId="9" fillId="2" borderId="28" xfId="0" applyNumberFormat="1" applyFont="1" applyFill="1" applyBorder="1" applyAlignment="1" applyProtection="1">
      <alignment horizontal="center"/>
      <protection locked="0"/>
    </xf>
    <xf numFmtId="0" fontId="9" fillId="0" borderId="9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3" borderId="2" xfId="0" applyFill="1" applyBorder="1" applyAlignment="1">
      <alignment horizontal="center" wrapText="1"/>
    </xf>
    <xf numFmtId="0" fontId="0" fillId="3" borderId="2" xfId="0" applyFill="1" applyBorder="1" applyAlignment="1">
      <alignment horizontal="center" vertical="center" wrapText="1"/>
    </xf>
    <xf numFmtId="172" fontId="9" fillId="0" borderId="6" xfId="0" applyNumberFormat="1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172" fontId="9" fillId="0" borderId="11" xfId="0" applyNumberFormat="1" applyFont="1" applyBorder="1" applyAlignment="1">
      <alignment horizontal="center"/>
    </xf>
    <xf numFmtId="172" fontId="9" fillId="0" borderId="8" xfId="0" applyNumberFormat="1" applyFont="1" applyBorder="1" applyAlignment="1">
      <alignment horizontal="center"/>
    </xf>
    <xf numFmtId="0" fontId="6" fillId="2" borderId="2" xfId="2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49" xfId="0" applyBorder="1" applyAlignment="1">
      <alignment/>
    </xf>
    <xf numFmtId="0" fontId="0" fillId="2" borderId="2" xfId="0" applyFill="1" applyBorder="1" applyAlignment="1" applyProtection="1">
      <alignment horizontal="center"/>
      <protection/>
    </xf>
    <xf numFmtId="0" fontId="0" fillId="0" borderId="0" xfId="0" applyAlignment="1">
      <alignment vertical="center" wrapText="1"/>
    </xf>
    <xf numFmtId="0" fontId="9" fillId="0" borderId="14" xfId="0" applyFont="1" applyBorder="1" applyAlignment="1">
      <alignment/>
    </xf>
    <xf numFmtId="10" fontId="9" fillId="0" borderId="2" xfId="0" applyNumberFormat="1" applyFont="1" applyBorder="1" applyAlignment="1">
      <alignment horizontal="center"/>
    </xf>
    <xf numFmtId="175" fontId="9" fillId="0" borderId="4" xfId="0" applyNumberFormat="1" applyFont="1" applyFill="1" applyBorder="1" applyAlignment="1">
      <alignment horizontal="center"/>
    </xf>
    <xf numFmtId="175" fontId="9" fillId="0" borderId="2" xfId="0" applyNumberFormat="1" applyFont="1" applyFill="1" applyBorder="1" applyAlignment="1">
      <alignment horizontal="center"/>
    </xf>
    <xf numFmtId="172" fontId="9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72" fontId="9" fillId="0" borderId="4" xfId="0" applyNumberFormat="1" applyFont="1" applyBorder="1" applyAlignment="1">
      <alignment horizontal="center"/>
    </xf>
    <xf numFmtId="175" fontId="9" fillId="0" borderId="51" xfId="0" applyNumberFormat="1" applyFont="1" applyBorder="1" applyAlignment="1">
      <alignment horizontal="center"/>
    </xf>
    <xf numFmtId="175" fontId="9" fillId="0" borderId="26" xfId="0" applyNumberFormat="1" applyFont="1" applyBorder="1" applyAlignment="1">
      <alignment horizontal="center"/>
    </xf>
    <xf numFmtId="175" fontId="9" fillId="0" borderId="52" xfId="0" applyNumberFormat="1" applyFont="1" applyBorder="1" applyAlignment="1">
      <alignment horizontal="center"/>
    </xf>
    <xf numFmtId="10" fontId="9" fillId="0" borderId="53" xfId="0" applyNumberFormat="1" applyFont="1" applyBorder="1" applyAlignment="1">
      <alignment horizontal="center"/>
    </xf>
    <xf numFmtId="10" fontId="9" fillId="0" borderId="45" xfId="0" applyNumberFormat="1" applyFont="1" applyBorder="1" applyAlignment="1">
      <alignment horizontal="center"/>
    </xf>
    <xf numFmtId="10" fontId="9" fillId="0" borderId="46" xfId="0" applyNumberFormat="1" applyFont="1" applyBorder="1" applyAlignment="1">
      <alignment horizontal="center"/>
    </xf>
    <xf numFmtId="175" fontId="9" fillId="0" borderId="22" xfId="0" applyNumberFormat="1" applyFont="1" applyBorder="1" applyAlignment="1">
      <alignment horizontal="center"/>
    </xf>
    <xf numFmtId="175" fontId="9" fillId="0" borderId="25" xfId="0" applyNumberFormat="1" applyFont="1" applyBorder="1" applyAlignment="1">
      <alignment horizontal="center"/>
    </xf>
    <xf numFmtId="175" fontId="9" fillId="0" borderId="28" xfId="0" applyNumberFormat="1" applyFont="1" applyBorder="1" applyAlignment="1">
      <alignment horizontal="center"/>
    </xf>
    <xf numFmtId="0" fontId="9" fillId="0" borderId="7" xfId="0" applyFont="1" applyBorder="1" applyAlignment="1">
      <alignment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0" fontId="9" fillId="2" borderId="47" xfId="0" applyFont="1" applyFill="1" applyBorder="1" applyAlignment="1" applyProtection="1">
      <alignment/>
      <protection locked="0"/>
    </xf>
    <xf numFmtId="0" fontId="9" fillId="2" borderId="43" xfId="0" applyFont="1" applyFill="1" applyBorder="1" applyAlignment="1" applyProtection="1">
      <alignment/>
      <protection locked="0"/>
    </xf>
    <xf numFmtId="0" fontId="9" fillId="2" borderId="44" xfId="0" applyFont="1" applyFill="1" applyBorder="1" applyAlignment="1" applyProtection="1">
      <alignment/>
      <protection locked="0"/>
    </xf>
    <xf numFmtId="0" fontId="9" fillId="0" borderId="1" xfId="0" applyFont="1" applyBorder="1" applyAlignment="1">
      <alignment/>
    </xf>
    <xf numFmtId="0" fontId="9" fillId="0" borderId="13" xfId="0" applyFont="1" applyBorder="1" applyAlignment="1">
      <alignment/>
    </xf>
    <xf numFmtId="172" fontId="9" fillId="2" borderId="53" xfId="0" applyNumberFormat="1" applyFont="1" applyFill="1" applyBorder="1" applyAlignment="1" applyProtection="1">
      <alignment horizontal="center"/>
      <protection locked="0"/>
    </xf>
    <xf numFmtId="172" fontId="9" fillId="2" borderId="45" xfId="0" applyNumberFormat="1" applyFont="1" applyFill="1" applyBorder="1" applyAlignment="1" applyProtection="1">
      <alignment horizontal="center"/>
      <protection locked="0"/>
    </xf>
    <xf numFmtId="172" fontId="9" fillId="2" borderId="46" xfId="0" applyNumberFormat="1" applyFont="1" applyFill="1" applyBorder="1" applyAlignment="1" applyProtection="1">
      <alignment horizontal="center"/>
      <protection locked="0"/>
    </xf>
    <xf numFmtId="172" fontId="9" fillId="2" borderId="22" xfId="0" applyNumberFormat="1" applyFont="1" applyFill="1" applyBorder="1" applyAlignment="1" applyProtection="1">
      <alignment horizontal="center"/>
      <protection locked="0"/>
    </xf>
    <xf numFmtId="172" fontId="9" fillId="2" borderId="25" xfId="0" applyNumberFormat="1" applyFont="1" applyFill="1" applyBorder="1" applyAlignment="1" applyProtection="1">
      <alignment horizontal="center"/>
      <protection locked="0"/>
    </xf>
    <xf numFmtId="172" fontId="9" fillId="2" borderId="28" xfId="0" applyNumberFormat="1" applyFont="1" applyFill="1" applyBorder="1" applyAlignment="1" applyProtection="1">
      <alignment horizontal="center"/>
      <protection locked="0"/>
    </xf>
    <xf numFmtId="0" fontId="9" fillId="0" borderId="7" xfId="0" applyFont="1" applyBorder="1" applyAlignment="1">
      <alignment/>
    </xf>
    <xf numFmtId="172" fontId="9" fillId="0" borderId="14" xfId="0" applyNumberFormat="1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172" fontId="9" fillId="0" borderId="7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right"/>
    </xf>
    <xf numFmtId="49" fontId="9" fillId="0" borderId="4" xfId="0" applyNumberFormat="1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174" fontId="9" fillId="2" borderId="2" xfId="0" applyNumberFormat="1" applyFont="1" applyFill="1" applyBorder="1" applyAlignment="1" applyProtection="1">
      <alignment horizontal="center"/>
      <protection locked="0"/>
    </xf>
    <xf numFmtId="0" fontId="9" fillId="2" borderId="2" xfId="0" applyNumberFormat="1" applyFont="1" applyFill="1" applyBorder="1" applyAlignment="1" applyProtection="1">
      <alignment horizontal="center"/>
      <protection locked="0"/>
    </xf>
    <xf numFmtId="2" fontId="10" fillId="0" borderId="8" xfId="0" applyNumberFormat="1" applyFont="1" applyBorder="1" applyAlignment="1">
      <alignment horizontal="center"/>
    </xf>
    <xf numFmtId="0" fontId="9" fillId="2" borderId="14" xfId="0" applyNumberFormat="1" applyFont="1" applyFill="1" applyBorder="1" applyAlignment="1" applyProtection="1">
      <alignment horizontal="center"/>
      <protection locked="0"/>
    </xf>
    <xf numFmtId="172" fontId="11" fillId="0" borderId="0" xfId="0" applyNumberFormat="1" applyFont="1" applyAlignment="1">
      <alignment/>
    </xf>
    <xf numFmtId="0" fontId="0" fillId="0" borderId="15" xfId="0" applyBorder="1" applyAlignment="1">
      <alignment horizontal="center"/>
    </xf>
    <xf numFmtId="172" fontId="9" fillId="0" borderId="0" xfId="0" applyNumberFormat="1" applyFont="1" applyAlignment="1">
      <alignment horizontal="center"/>
    </xf>
    <xf numFmtId="0" fontId="9" fillId="3" borderId="1" xfId="0" applyFont="1" applyFill="1" applyBorder="1" applyAlignment="1" applyProtection="1">
      <alignment horizontal="center"/>
      <protection/>
    </xf>
    <xf numFmtId="172" fontId="9" fillId="0" borderId="0" xfId="0" applyNumberFormat="1" applyFont="1" applyAlignment="1">
      <alignment horizontal="right"/>
    </xf>
    <xf numFmtId="172" fontId="11" fillId="0" borderId="10" xfId="0" applyNumberFormat="1" applyFont="1" applyBorder="1" applyAlignment="1">
      <alignment horizontal="center"/>
    </xf>
    <xf numFmtId="172" fontId="11" fillId="0" borderId="13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2" fontId="9" fillId="0" borderId="47" xfId="0" applyNumberFormat="1" applyFont="1" applyBorder="1" applyAlignment="1">
      <alignment horizontal="center"/>
    </xf>
    <xf numFmtId="2" fontId="9" fillId="0" borderId="44" xfId="0" applyNumberFormat="1" applyFont="1" applyBorder="1" applyAlignment="1">
      <alignment horizontal="center"/>
    </xf>
    <xf numFmtId="172" fontId="11" fillId="0" borderId="22" xfId="0" applyNumberFormat="1" applyFont="1" applyBorder="1" applyAlignment="1">
      <alignment horizontal="center"/>
    </xf>
    <xf numFmtId="172" fontId="11" fillId="0" borderId="28" xfId="0" applyNumberFormat="1" applyFont="1" applyBorder="1" applyAlignment="1">
      <alignment horizontal="center"/>
    </xf>
    <xf numFmtId="172" fontId="9" fillId="0" borderId="22" xfId="0" applyNumberFormat="1" applyFont="1" applyBorder="1" applyAlignment="1">
      <alignment horizontal="center"/>
    </xf>
    <xf numFmtId="172" fontId="9" fillId="0" borderId="22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3" fontId="9" fillId="0" borderId="9" xfId="0" applyNumberFormat="1" applyFont="1" applyBorder="1" applyAlignment="1">
      <alignment horizontal="center"/>
    </xf>
    <xf numFmtId="173" fontId="9" fillId="2" borderId="34" xfId="0" applyNumberFormat="1" applyFont="1" applyFill="1" applyBorder="1" applyAlignment="1" applyProtection="1">
      <alignment horizontal="center"/>
      <protection locked="0"/>
    </xf>
    <xf numFmtId="173" fontId="9" fillId="2" borderId="39" xfId="0" applyNumberFormat="1" applyFont="1" applyFill="1" applyBorder="1" applyAlignment="1" applyProtection="1">
      <alignment horizontal="center"/>
      <protection locked="0"/>
    </xf>
    <xf numFmtId="3" fontId="9" fillId="2" borderId="34" xfId="0" applyNumberFormat="1" applyFont="1" applyFill="1" applyBorder="1" applyAlignment="1" applyProtection="1">
      <alignment horizontal="center"/>
      <protection locked="0"/>
    </xf>
    <xf numFmtId="3" fontId="9" fillId="2" borderId="39" xfId="0" applyNumberFormat="1" applyFont="1" applyFill="1" applyBorder="1" applyAlignment="1" applyProtection="1">
      <alignment horizontal="center"/>
      <protection locked="0"/>
    </xf>
    <xf numFmtId="0" fontId="10" fillId="0" borderId="9" xfId="0" applyFont="1" applyBorder="1" applyAlignment="1">
      <alignment horizontal="left"/>
    </xf>
    <xf numFmtId="0" fontId="1" fillId="0" borderId="0" xfId="0" applyFont="1" applyAlignment="1">
      <alignment/>
    </xf>
    <xf numFmtId="0" fontId="9" fillId="0" borderId="14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2" borderId="7" xfId="0" applyFont="1" applyFill="1" applyBorder="1" applyAlignment="1" applyProtection="1">
      <alignment horizontal="left"/>
      <protection locked="0"/>
    </xf>
    <xf numFmtId="0" fontId="9" fillId="2" borderId="9" xfId="0" applyFont="1" applyFill="1" applyBorder="1" applyAlignment="1" applyProtection="1">
      <alignment horizontal="left"/>
      <protection locked="0"/>
    </xf>
    <xf numFmtId="0" fontId="9" fillId="2" borderId="10" xfId="0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2" borderId="16" xfId="0" applyFont="1" applyFill="1" applyBorder="1" applyAlignment="1" applyProtection="1">
      <alignment horizontal="center"/>
      <protection locked="0"/>
    </xf>
    <xf numFmtId="0" fontId="9" fillId="2" borderId="17" xfId="0" applyFont="1" applyFill="1" applyBorder="1" applyAlignment="1" applyProtection="1">
      <alignment horizontal="center"/>
      <protection locked="0"/>
    </xf>
    <xf numFmtId="0" fontId="9" fillId="2" borderId="18" xfId="0" applyFont="1" applyFill="1" applyBorder="1" applyAlignment="1" applyProtection="1">
      <alignment horizontal="center"/>
      <protection locked="0"/>
    </xf>
    <xf numFmtId="0" fontId="9" fillId="2" borderId="22" xfId="0" applyNumberFormat="1" applyFont="1" applyFill="1" applyBorder="1" applyAlignment="1" applyProtection="1">
      <alignment horizontal="center" vertical="center"/>
      <protection locked="0"/>
    </xf>
    <xf numFmtId="0" fontId="9" fillId="2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" fontId="9" fillId="2" borderId="16" xfId="0" applyNumberFormat="1" applyFont="1" applyFill="1" applyBorder="1" applyAlignment="1" applyProtection="1">
      <alignment horizontal="center" vertical="center"/>
      <protection locked="0"/>
    </xf>
    <xf numFmtId="2" fontId="9" fillId="2" borderId="18" xfId="0" applyNumberFormat="1" applyFont="1" applyFill="1" applyBorder="1" applyAlignment="1" applyProtection="1">
      <alignment horizontal="center" vertical="center"/>
      <protection locked="0"/>
    </xf>
    <xf numFmtId="4" fontId="9" fillId="0" borderId="35" xfId="0" applyNumberFormat="1" applyFont="1" applyFill="1" applyBorder="1" applyAlignment="1" applyProtection="1">
      <alignment horizontal="right"/>
      <protection/>
    </xf>
    <xf numFmtId="4" fontId="9" fillId="0" borderId="40" xfId="0" applyNumberFormat="1" applyFont="1" applyFill="1" applyBorder="1" applyAlignment="1" applyProtection="1">
      <alignment horizontal="right"/>
      <protection/>
    </xf>
    <xf numFmtId="0" fontId="9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9" fillId="2" borderId="12" xfId="0" applyFont="1" applyFill="1" applyBorder="1" applyAlignment="1" applyProtection="1">
      <alignment horizontal="left"/>
      <protection locked="0"/>
    </xf>
    <xf numFmtId="0" fontId="9" fillId="2" borderId="15" xfId="0" applyFont="1" applyFill="1" applyBorder="1" applyAlignment="1" applyProtection="1">
      <alignment horizontal="left"/>
      <protection locked="0"/>
    </xf>
    <xf numFmtId="0" fontId="9" fillId="2" borderId="13" xfId="0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6" fillId="2" borderId="14" xfId="20" applyFont="1" applyFill="1" applyBorder="1" applyAlignment="1">
      <alignment horizontal="center" vertical="center" wrapText="1"/>
    </xf>
    <xf numFmtId="0" fontId="16" fillId="2" borderId="8" xfId="2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6" fillId="0" borderId="0" xfId="2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3" borderId="0" xfId="0" applyNumberFormat="1" applyFont="1" applyFill="1" applyBorder="1" applyAlignment="1" applyProtection="1">
      <alignment horizontal="right" vertical="center"/>
      <protection/>
    </xf>
    <xf numFmtId="176" fontId="9" fillId="0" borderId="0" xfId="0" applyNumberFormat="1" applyFont="1" applyBorder="1" applyAlignment="1">
      <alignment horizontal="center" vertical="center"/>
    </xf>
    <xf numFmtId="0" fontId="11" fillId="3" borderId="0" xfId="0" applyNumberFormat="1" applyFont="1" applyFill="1" applyBorder="1" applyAlignment="1" applyProtection="1">
      <alignment horizontal="right" vertical="center"/>
      <protection/>
    </xf>
    <xf numFmtId="176" fontId="11" fillId="0" borderId="0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0" fontId="9" fillId="2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20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6" fillId="2" borderId="14" xfId="20" applyFont="1" applyFill="1" applyBorder="1" applyAlignment="1">
      <alignment horizontal="center" vertical="center"/>
    </xf>
    <xf numFmtId="0" fontId="16" fillId="2" borderId="8" xfId="2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left"/>
    </xf>
    <xf numFmtId="173" fontId="10" fillId="0" borderId="9" xfId="0" applyNumberFormat="1" applyFont="1" applyBorder="1" applyAlignment="1">
      <alignment horizontal="left"/>
    </xf>
    <xf numFmtId="2" fontId="10" fillId="0" borderId="9" xfId="0" applyNumberFormat="1" applyFont="1" applyBorder="1" applyAlignment="1">
      <alignment horizontal="left"/>
    </xf>
    <xf numFmtId="0" fontId="6" fillId="2" borderId="14" xfId="20" applyFill="1" applyBorder="1" applyAlignment="1">
      <alignment horizontal="center" vertical="center"/>
    </xf>
    <xf numFmtId="0" fontId="6" fillId="2" borderId="8" xfId="20" applyFill="1" applyBorder="1" applyAlignment="1">
      <alignment horizontal="center" vertical="center"/>
    </xf>
    <xf numFmtId="172" fontId="10" fillId="0" borderId="9" xfId="0" applyNumberFormat="1" applyFont="1" applyBorder="1" applyAlignment="1">
      <alignment horizontal="left"/>
    </xf>
    <xf numFmtId="0" fontId="1" fillId="0" borderId="6" xfId="0" applyFont="1" applyBorder="1" applyAlignment="1">
      <alignment/>
    </xf>
    <xf numFmtId="0" fontId="9" fillId="2" borderId="12" xfId="0" applyFont="1" applyFill="1" applyBorder="1" applyAlignment="1" applyProtection="1">
      <alignment/>
      <protection locked="0"/>
    </xf>
    <xf numFmtId="0" fontId="9" fillId="2" borderId="15" xfId="0" applyFont="1" applyFill="1" applyBorder="1" applyAlignment="1" applyProtection="1">
      <alignment/>
      <protection locked="0"/>
    </xf>
    <xf numFmtId="0" fontId="9" fillId="2" borderId="13" xfId="0" applyFont="1" applyFill="1" applyBorder="1" applyAlignment="1" applyProtection="1">
      <alignment/>
      <protection locked="0"/>
    </xf>
    <xf numFmtId="0" fontId="9" fillId="2" borderId="7" xfId="0" applyFont="1" applyFill="1" applyBorder="1" applyAlignment="1" applyProtection="1">
      <alignment/>
      <protection locked="0"/>
    </xf>
    <xf numFmtId="0" fontId="9" fillId="2" borderId="9" xfId="0" applyFont="1" applyFill="1" applyBorder="1" applyAlignment="1" applyProtection="1">
      <alignment/>
      <protection locked="0"/>
    </xf>
    <xf numFmtId="0" fontId="9" fillId="2" borderId="10" xfId="0" applyFont="1" applyFill="1" applyBorder="1" applyAlignment="1" applyProtection="1">
      <alignment/>
      <protection locked="0"/>
    </xf>
    <xf numFmtId="0" fontId="9" fillId="2" borderId="1" xfId="0" applyFont="1" applyFill="1" applyBorder="1" applyAlignment="1" applyProtection="1">
      <alignment horizontal="left"/>
      <protection locked="0"/>
    </xf>
    <xf numFmtId="0" fontId="9" fillId="2" borderId="3" xfId="0" applyFont="1" applyFill="1" applyBorder="1" applyAlignment="1" applyProtection="1">
      <alignment horizontal="left"/>
      <protection locked="0"/>
    </xf>
    <xf numFmtId="0" fontId="9" fillId="2" borderId="4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6" xfId="0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9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9" fillId="0" borderId="7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2" borderId="12" xfId="0" applyFont="1" applyFill="1" applyBorder="1" applyAlignment="1" applyProtection="1">
      <alignment horizontal="left" vertical="top" wrapText="1"/>
      <protection locked="0"/>
    </xf>
    <xf numFmtId="0" fontId="9" fillId="2" borderId="15" xfId="0" applyFont="1" applyFill="1" applyBorder="1" applyAlignment="1" applyProtection="1">
      <alignment horizontal="left" vertical="top" wrapText="1"/>
      <protection locked="0"/>
    </xf>
    <xf numFmtId="0" fontId="9" fillId="2" borderId="13" xfId="0" applyFont="1" applyFill="1" applyBorder="1" applyAlignment="1" applyProtection="1">
      <alignment horizontal="left" vertical="top" wrapText="1"/>
      <protection locked="0"/>
    </xf>
    <xf numFmtId="0" fontId="9" fillId="2" borderId="7" xfId="0" applyFont="1" applyFill="1" applyBorder="1" applyAlignment="1" applyProtection="1">
      <alignment horizontal="left" vertical="top" wrapText="1"/>
      <protection locked="0"/>
    </xf>
    <xf numFmtId="0" fontId="9" fillId="2" borderId="9" xfId="0" applyFont="1" applyFill="1" applyBorder="1" applyAlignment="1" applyProtection="1">
      <alignment horizontal="left" vertical="top" wrapText="1"/>
      <protection locked="0"/>
    </xf>
    <xf numFmtId="0" fontId="9" fillId="2" borderId="1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/>
    </xf>
    <xf numFmtId="0" fontId="1" fillId="0" borderId="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stat.au.dk/teaching/software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3"/>
  <sheetViews>
    <sheetView workbookViewId="0" topLeftCell="A1">
      <selection activeCell="E15" sqref="E15"/>
    </sheetView>
  </sheetViews>
  <sheetFormatPr defaultColWidth="9.140625" defaultRowHeight="12.75"/>
  <cols>
    <col min="1" max="1" width="12.7109375" style="0" customWidth="1"/>
    <col min="2" max="2" width="5.7109375" style="0" customWidth="1"/>
    <col min="3" max="3" width="10.7109375" style="0" customWidth="1"/>
    <col min="4" max="4" width="5.7109375" style="0" customWidth="1"/>
    <col min="5" max="5" width="10.7109375" style="0" customWidth="1"/>
    <col min="6" max="6" width="5.7109375" style="0" customWidth="1"/>
    <col min="7" max="7" width="10.7109375" style="0" customWidth="1"/>
    <col min="8" max="8" width="5.7109375" style="0" customWidth="1"/>
    <col min="9" max="9" width="10.7109375" style="0" customWidth="1"/>
  </cols>
  <sheetData>
    <row r="1" spans="1:9" ht="23.25">
      <c r="A1" s="462" t="s">
        <v>154</v>
      </c>
      <c r="B1" s="462"/>
      <c r="C1" s="462"/>
      <c r="D1" s="462"/>
      <c r="E1" s="462"/>
      <c r="F1" s="462"/>
      <c r="G1" s="462"/>
      <c r="H1" s="462"/>
      <c r="I1" s="462"/>
    </row>
    <row r="2" spans="1:9" ht="15">
      <c r="A2" s="463" t="s">
        <v>237</v>
      </c>
      <c r="B2" s="463"/>
      <c r="C2" s="463"/>
      <c r="D2" s="463"/>
      <c r="E2" s="463"/>
      <c r="F2" s="463"/>
      <c r="G2" s="463"/>
      <c r="H2" s="463"/>
      <c r="I2" s="463"/>
    </row>
    <row r="5" ht="12.75" customHeight="1">
      <c r="A5" t="s">
        <v>82</v>
      </c>
    </row>
    <row r="6" spans="1:7" ht="12.75">
      <c r="A6" s="464" t="s">
        <v>83</v>
      </c>
      <c r="B6" s="464"/>
      <c r="C6" s="464"/>
      <c r="D6" s="464"/>
      <c r="E6" s="328" t="s">
        <v>84</v>
      </c>
      <c r="F6" s="460" t="s">
        <v>85</v>
      </c>
      <c r="G6" s="460"/>
    </row>
    <row r="7" spans="1:7" ht="12.75">
      <c r="A7" s="289"/>
      <c r="B7" s="289"/>
      <c r="C7" s="289"/>
      <c r="D7" s="289"/>
      <c r="F7" s="288"/>
      <c r="G7" s="288"/>
    </row>
    <row r="8" spans="1:9" ht="12.75">
      <c r="A8" s="460" t="s">
        <v>202</v>
      </c>
      <c r="B8" s="460"/>
      <c r="C8" s="460"/>
      <c r="D8" s="460"/>
      <c r="E8" s="460"/>
      <c r="F8" s="460"/>
      <c r="G8" s="460"/>
      <c r="H8" s="460"/>
      <c r="I8" s="460"/>
    </row>
    <row r="9" spans="1:9" ht="12.75">
      <c r="A9" s="461" t="s">
        <v>203</v>
      </c>
      <c r="B9" s="460"/>
      <c r="C9" s="460"/>
      <c r="D9" s="460"/>
      <c r="E9" s="460"/>
      <c r="F9" s="460"/>
      <c r="G9" s="460"/>
      <c r="H9" s="460"/>
      <c r="I9" s="460"/>
    </row>
    <row r="10" spans="1:9" ht="12.75">
      <c r="A10" s="461" t="s">
        <v>204</v>
      </c>
      <c r="B10" s="460"/>
      <c r="C10" s="460"/>
      <c r="D10" s="460"/>
      <c r="E10" s="460"/>
      <c r="F10" s="460"/>
      <c r="G10" s="460"/>
      <c r="H10" s="460"/>
      <c r="I10" s="460"/>
    </row>
    <row r="11" spans="1:9" ht="12.75">
      <c r="A11" s="461" t="s">
        <v>205</v>
      </c>
      <c r="B11" s="460"/>
      <c r="C11" s="460"/>
      <c r="D11" s="460"/>
      <c r="E11" s="460"/>
      <c r="F11" s="460"/>
      <c r="G11" s="460"/>
      <c r="H11" s="460"/>
      <c r="I11" s="460"/>
    </row>
    <row r="12" spans="1:9" ht="12.75">
      <c r="A12" s="461" t="s">
        <v>226</v>
      </c>
      <c r="B12" s="460"/>
      <c r="C12" s="460"/>
      <c r="D12" s="460"/>
      <c r="E12" s="460"/>
      <c r="F12" s="460"/>
      <c r="G12" s="460"/>
      <c r="H12" s="460"/>
      <c r="I12" s="460"/>
    </row>
    <row r="13" spans="1:9" ht="13.5" customHeight="1">
      <c r="A13" s="10"/>
      <c r="B13" s="12"/>
      <c r="C13" s="302"/>
      <c r="D13" s="10"/>
      <c r="E13" s="302"/>
      <c r="F13" s="10"/>
      <c r="G13" s="302"/>
      <c r="H13" s="10"/>
      <c r="I13" s="302"/>
    </row>
    <row r="14" spans="1:9" ht="39.75" customHeight="1">
      <c r="A14" s="12"/>
      <c r="B14" s="12"/>
      <c r="C14" s="443" t="s">
        <v>42</v>
      </c>
      <c r="D14" s="11"/>
      <c r="E14" s="11" t="s">
        <v>47</v>
      </c>
      <c r="F14" s="11"/>
      <c r="G14" s="11" t="s">
        <v>25</v>
      </c>
      <c r="H14" s="11"/>
      <c r="I14" s="11" t="s">
        <v>46</v>
      </c>
    </row>
    <row r="15" spans="1:9" ht="24.75" customHeight="1">
      <c r="A15" s="14" t="s">
        <v>41</v>
      </c>
      <c r="B15" s="12"/>
      <c r="C15" s="325" t="s">
        <v>167</v>
      </c>
      <c r="D15" s="11"/>
      <c r="E15" s="325" t="s">
        <v>173</v>
      </c>
      <c r="F15" s="11"/>
      <c r="G15" s="325" t="s">
        <v>201</v>
      </c>
      <c r="H15" s="11"/>
      <c r="I15" s="319"/>
    </row>
    <row r="16" spans="1:9" ht="24.75" customHeight="1">
      <c r="A16" s="14" t="s">
        <v>43</v>
      </c>
      <c r="B16" s="12"/>
      <c r="C16" s="325" t="s">
        <v>168</v>
      </c>
      <c r="D16" s="12"/>
      <c r="E16" s="325" t="s">
        <v>175</v>
      </c>
      <c r="F16" s="12"/>
      <c r="G16" s="325" t="s">
        <v>189</v>
      </c>
      <c r="H16" s="12"/>
      <c r="I16" s="320"/>
    </row>
    <row r="17" spans="1:9" ht="24.75" customHeight="1">
      <c r="A17" s="14" t="s">
        <v>44</v>
      </c>
      <c r="B17" s="12"/>
      <c r="C17" s="325" t="s">
        <v>168</v>
      </c>
      <c r="D17" s="12"/>
      <c r="E17" s="325" t="s">
        <v>175</v>
      </c>
      <c r="F17" s="12"/>
      <c r="G17" s="325" t="s">
        <v>190</v>
      </c>
      <c r="H17" s="12"/>
      <c r="I17" s="325" t="s">
        <v>184</v>
      </c>
    </row>
    <row r="18" spans="1:9" ht="24.75" customHeight="1">
      <c r="A18" s="14" t="s">
        <v>45</v>
      </c>
      <c r="B18" s="12"/>
      <c r="C18" s="325" t="s">
        <v>171</v>
      </c>
      <c r="D18" s="12"/>
      <c r="E18" s="325" t="s">
        <v>183</v>
      </c>
      <c r="F18" s="12"/>
      <c r="G18" s="325" t="s">
        <v>191</v>
      </c>
      <c r="H18" s="12"/>
      <c r="I18" s="320"/>
    </row>
    <row r="19" spans="1:9" ht="24.75" customHeight="1">
      <c r="A19" s="10"/>
      <c r="B19" s="10"/>
      <c r="C19" s="10"/>
      <c r="D19" s="10"/>
      <c r="E19" s="10"/>
      <c r="F19" s="10"/>
      <c r="G19" s="10"/>
      <c r="H19" s="10"/>
      <c r="I19" s="10"/>
    </row>
    <row r="20" spans="1:9" ht="24.75" customHeight="1">
      <c r="A20" s="302" t="s">
        <v>133</v>
      </c>
      <c r="B20" s="10"/>
      <c r="C20" s="325" t="s">
        <v>186</v>
      </c>
      <c r="D20" s="10"/>
      <c r="E20" s="10"/>
      <c r="F20" s="10"/>
      <c r="G20" s="10"/>
      <c r="H20" s="10"/>
      <c r="I20" s="10"/>
    </row>
    <row r="21" spans="1:9" ht="24.75" customHeight="1">
      <c r="A21" s="10"/>
      <c r="B21" s="10"/>
      <c r="C21" s="10"/>
      <c r="D21" s="10"/>
      <c r="E21" s="10"/>
      <c r="F21" s="10"/>
      <c r="G21" s="10"/>
      <c r="H21" s="10"/>
      <c r="I21" s="10"/>
    </row>
    <row r="22" spans="1:9" ht="24.75" customHeight="1">
      <c r="A22" s="302" t="s">
        <v>208</v>
      </c>
      <c r="B22" s="10"/>
      <c r="C22" s="325" t="s">
        <v>207</v>
      </c>
      <c r="D22" s="10"/>
      <c r="E22" s="10"/>
      <c r="F22" s="10"/>
      <c r="G22" s="10"/>
      <c r="H22" s="10"/>
      <c r="I22" s="10"/>
    </row>
    <row r="23" ht="24.75" customHeight="1"/>
    <row r="25" spans="1:5" ht="12.75">
      <c r="A25" s="459" t="s">
        <v>228</v>
      </c>
      <c r="B25" s="459"/>
      <c r="C25" s="459"/>
      <c r="D25" s="442" t="s">
        <v>229</v>
      </c>
      <c r="E25" t="s">
        <v>230</v>
      </c>
    </row>
    <row r="26" spans="1:5" ht="12.75">
      <c r="A26" s="458" t="s">
        <v>231</v>
      </c>
      <c r="B26" s="458"/>
      <c r="C26" s="458"/>
      <c r="D26" s="458"/>
      <c r="E26" s="458"/>
    </row>
    <row r="28" spans="1:9" ht="12.75">
      <c r="A28" s="460" t="s">
        <v>156</v>
      </c>
      <c r="B28" s="460"/>
      <c r="C28" s="460"/>
      <c r="D28" s="460"/>
      <c r="E28" s="465" t="s">
        <v>155</v>
      </c>
      <c r="F28" s="460"/>
      <c r="G28" s="460"/>
      <c r="H28" s="460"/>
      <c r="I28" s="460"/>
    </row>
    <row r="29" spans="1:9" ht="12.75">
      <c r="A29" s="460" t="s">
        <v>157</v>
      </c>
      <c r="B29" s="460"/>
      <c r="C29" s="460"/>
      <c r="D29" s="460"/>
      <c r="E29" s="460"/>
      <c r="F29" s="460"/>
      <c r="G29" s="460"/>
      <c r="H29" s="460"/>
      <c r="I29" s="460"/>
    </row>
    <row r="30" spans="1:4" ht="12.75">
      <c r="A30" s="289" t="s">
        <v>232</v>
      </c>
      <c r="B30" s="458" t="s">
        <v>235</v>
      </c>
      <c r="C30" s="458"/>
      <c r="D30" s="458"/>
    </row>
    <row r="31" spans="1:4" ht="12.75">
      <c r="A31" s="289" t="s">
        <v>233</v>
      </c>
      <c r="B31" s="458" t="s">
        <v>234</v>
      </c>
      <c r="C31" s="458"/>
      <c r="D31" s="458"/>
    </row>
    <row r="33" spans="1:3" ht="12.75">
      <c r="A33" s="458" t="s">
        <v>236</v>
      </c>
      <c r="B33" s="458"/>
      <c r="C33" s="458"/>
    </row>
  </sheetData>
  <sheetProtection sheet="1" objects="1" scenarios="1"/>
  <mergeCells count="17">
    <mergeCell ref="A29:I29"/>
    <mergeCell ref="B31:D31"/>
    <mergeCell ref="B30:D30"/>
    <mergeCell ref="A1:I1"/>
    <mergeCell ref="A2:I2"/>
    <mergeCell ref="F6:G6"/>
    <mergeCell ref="A6:D6"/>
    <mergeCell ref="A33:C33"/>
    <mergeCell ref="A25:C25"/>
    <mergeCell ref="A26:E26"/>
    <mergeCell ref="A8:I8"/>
    <mergeCell ref="A9:I9"/>
    <mergeCell ref="A11:I11"/>
    <mergeCell ref="A12:I12"/>
    <mergeCell ref="A10:I10"/>
    <mergeCell ref="A28:D28"/>
    <mergeCell ref="E28:I28"/>
  </mergeCells>
  <hyperlinks>
    <hyperlink ref="E28" r:id="rId1" display="http://www.biostat.au.dk/teaching/software"/>
    <hyperlink ref="C15" location="'D means'!A1" display="D means"/>
    <hyperlink ref="C16" location="'D prop'!A1" display="D prop"/>
    <hyperlink ref="C17" location="'D prop'!A1" display="D prop"/>
    <hyperlink ref="C18" location="'D rates'!A1" display="D rates"/>
    <hyperlink ref="E15" location="'C means'!A1" display="C means"/>
    <hyperlink ref="E16" location="'C risk'!A1" display="C risk"/>
    <hyperlink ref="E17" location="'C risk'!A1" display="C risk"/>
    <hyperlink ref="E18" location="'C rates'!A1" display="C rates"/>
    <hyperlink ref="G16" location="'Str RR'!A1" display="Str RR"/>
    <hyperlink ref="G17" location="'Str OR'!A1" display="Str OR"/>
    <hyperlink ref="G18" location="'Str IRR'!A1" display="Str IRR"/>
    <hyperlink ref="I17" location="'MH OR'!A1" display="MH OR"/>
    <hyperlink ref="C20" location="Chisq!A1" display="Chisq"/>
    <hyperlink ref="G15" location="'Str any'!A1" display="Str any"/>
    <hyperlink ref="C22" location="Tables!A1" display="Tables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M60"/>
  <sheetViews>
    <sheetView tabSelected="1" workbookViewId="0" topLeftCell="A26">
      <selection activeCell="A3" sqref="A3:G3"/>
    </sheetView>
  </sheetViews>
  <sheetFormatPr defaultColWidth="9.140625" defaultRowHeight="12.75"/>
  <cols>
    <col min="1" max="9" width="8.7109375" style="0" customWidth="1"/>
    <col min="10" max="10" width="8.8515625" style="0" hidden="1" customWidth="1"/>
    <col min="11" max="12" width="0" style="0" hidden="1" customWidth="1"/>
  </cols>
  <sheetData>
    <row r="1" spans="1:12" ht="12" customHeight="1">
      <c r="A1" s="7" t="s">
        <v>190</v>
      </c>
      <c r="C1" s="403" t="s">
        <v>177</v>
      </c>
      <c r="D1" s="403"/>
      <c r="E1" s="403"/>
      <c r="F1" s="403"/>
      <c r="I1" s="470" t="s">
        <v>218</v>
      </c>
      <c r="J1" s="24"/>
      <c r="K1" s="24"/>
      <c r="L1" s="24"/>
    </row>
    <row r="2" spans="1:12" ht="12" customHeight="1">
      <c r="A2" s="7"/>
      <c r="C2" s="7"/>
      <c r="H2" s="46"/>
      <c r="I2" s="471"/>
      <c r="J2" s="24"/>
      <c r="K2" s="24"/>
      <c r="L2" s="24"/>
    </row>
    <row r="3" spans="1:12" ht="12" customHeight="1">
      <c r="A3" s="429" t="s">
        <v>150</v>
      </c>
      <c r="B3" s="430"/>
      <c r="C3" s="430"/>
      <c r="D3" s="430"/>
      <c r="E3" s="430"/>
      <c r="F3" s="430"/>
      <c r="G3" s="431"/>
      <c r="H3" s="24"/>
      <c r="I3" s="24"/>
      <c r="J3" s="24"/>
      <c r="K3" s="24"/>
      <c r="L3" s="24"/>
    </row>
    <row r="4" spans="1:12" ht="12" customHeight="1">
      <c r="A4" s="406" t="s">
        <v>151</v>
      </c>
      <c r="B4" s="407"/>
      <c r="C4" s="407"/>
      <c r="D4" s="407"/>
      <c r="E4" s="407"/>
      <c r="F4" s="407"/>
      <c r="G4" s="408"/>
      <c r="H4" s="24"/>
      <c r="I4" s="24"/>
      <c r="J4" s="24"/>
      <c r="K4" s="24"/>
      <c r="L4" s="24"/>
    </row>
    <row r="5" spans="1:12" ht="12" customHeight="1">
      <c r="A5" s="7"/>
      <c r="C5" s="7"/>
      <c r="H5" s="24"/>
      <c r="I5" s="24"/>
      <c r="J5" s="24"/>
      <c r="K5" s="24"/>
      <c r="L5" s="24"/>
    </row>
    <row r="6" spans="1:12" ht="12" customHeight="1">
      <c r="A6" s="171" t="s">
        <v>192</v>
      </c>
      <c r="B6" s="209"/>
      <c r="C6" s="209"/>
      <c r="D6" s="46"/>
      <c r="E6" s="180"/>
      <c r="F6" s="180"/>
      <c r="G6" s="180">
        <f>IF(E4="","",E4+1.96*F4)</f>
      </c>
      <c r="H6" s="24"/>
      <c r="I6" s="24"/>
      <c r="J6" s="24"/>
      <c r="K6" s="24"/>
      <c r="L6" s="24"/>
    </row>
    <row r="7" spans="1:12" ht="12" customHeight="1">
      <c r="A7" s="380">
        <v>1</v>
      </c>
      <c r="B7" s="489" t="s">
        <v>153</v>
      </c>
      <c r="C7" s="490"/>
      <c r="D7" s="490"/>
      <c r="E7" s="490"/>
      <c r="F7" s="490"/>
      <c r="G7" s="491"/>
      <c r="H7" s="24"/>
      <c r="I7" s="24"/>
      <c r="J7" s="24"/>
      <c r="K7" s="24"/>
      <c r="L7" s="24"/>
    </row>
    <row r="8" spans="1:12" ht="12" customHeight="1">
      <c r="A8" s="26" t="s">
        <v>137</v>
      </c>
      <c r="B8" s="26" t="s">
        <v>1</v>
      </c>
      <c r="C8" s="28" t="s">
        <v>130</v>
      </c>
      <c r="D8" s="27" t="s">
        <v>54</v>
      </c>
      <c r="E8" s="173" t="s">
        <v>3</v>
      </c>
      <c r="F8" s="171" t="s">
        <v>4</v>
      </c>
      <c r="G8" s="174" t="s">
        <v>5</v>
      </c>
      <c r="H8" s="175" t="s">
        <v>8</v>
      </c>
      <c r="I8" s="175" t="s">
        <v>9</v>
      </c>
      <c r="J8" s="24"/>
      <c r="K8" s="175" t="s">
        <v>65</v>
      </c>
      <c r="L8" s="175" t="s">
        <v>62</v>
      </c>
    </row>
    <row r="9" spans="1:12" ht="12" customHeight="1">
      <c r="A9" s="30" t="s">
        <v>0</v>
      </c>
      <c r="B9" s="153">
        <v>3</v>
      </c>
      <c r="C9" s="154">
        <v>104</v>
      </c>
      <c r="D9" s="50">
        <f>SUM(B9:C9)</f>
        <v>107</v>
      </c>
      <c r="E9" s="122">
        <f>IF(D11&gt;0,B9*C10/C9/B10,"")</f>
        <v>3.394230769230769</v>
      </c>
      <c r="F9" s="155"/>
      <c r="G9" s="157">
        <f>IF(G11="","",EXP(G11))</f>
        <v>0.9048183230053207</v>
      </c>
      <c r="H9" s="46"/>
      <c r="I9" s="46"/>
      <c r="J9" s="24"/>
      <c r="K9" s="24"/>
      <c r="L9" s="24"/>
    </row>
    <row r="10" spans="1:12" ht="12" customHeight="1">
      <c r="A10" s="30">
        <v>0</v>
      </c>
      <c r="B10" s="160">
        <v>9</v>
      </c>
      <c r="C10" s="161">
        <v>1059</v>
      </c>
      <c r="D10" s="50">
        <f>SUM(B10:C10)</f>
        <v>1068</v>
      </c>
      <c r="E10" s="123"/>
      <c r="F10" s="176"/>
      <c r="G10" s="178">
        <f>IF(G12="","",EXP(G12))</f>
        <v>12.732724594399212</v>
      </c>
      <c r="H10" s="46"/>
      <c r="I10" s="46"/>
      <c r="J10" s="24"/>
      <c r="K10" s="24"/>
      <c r="L10" s="24"/>
    </row>
    <row r="11" spans="1:12" ht="12" customHeight="1">
      <c r="A11" s="26" t="s">
        <v>54</v>
      </c>
      <c r="B11" s="26">
        <f>SUM(B9:B10)</f>
        <v>12</v>
      </c>
      <c r="C11" s="28">
        <f>SUM(C9:C10)</f>
        <v>1163</v>
      </c>
      <c r="D11" s="27">
        <f>SUM(B11:C11)</f>
        <v>1175</v>
      </c>
      <c r="E11" s="180">
        <f>IF(E9="","",LN(E9))</f>
        <v>1.222077157791924</v>
      </c>
      <c r="F11" s="180">
        <f>IF(D11=0,"",SQRT(1/B9+1/B10+1/C9+1/C10))</f>
        <v>0.6745399292281342</v>
      </c>
      <c r="G11" s="180">
        <f>IF(E11="","",E11-1.96*F11)</f>
        <v>-0.10002110349521898</v>
      </c>
      <c r="H11" s="180">
        <f>IF(F11="","",1/(F11^2))</f>
        <v>2.197782315730658</v>
      </c>
      <c r="I11" s="180">
        <f>IF(E11="","",E11*H11)</f>
        <v>2.685859565853476</v>
      </c>
      <c r="J11" s="24"/>
      <c r="K11" s="377">
        <f>((E11-$E$47)/F11)^2</f>
        <v>0.03126060998901718</v>
      </c>
      <c r="L11" s="109">
        <f>IF(D11&gt;0,1,0)</f>
        <v>1</v>
      </c>
    </row>
    <row r="12" spans="1:12" ht="12" customHeight="1">
      <c r="A12" s="175"/>
      <c r="B12" s="209"/>
      <c r="C12" s="209"/>
      <c r="D12" s="46"/>
      <c r="E12" s="180"/>
      <c r="F12" s="180"/>
      <c r="G12" s="180">
        <f>IF(E11="","",E11+1.96*F11)</f>
        <v>2.544175419079067</v>
      </c>
      <c r="H12" s="180"/>
      <c r="I12" s="180"/>
      <c r="J12" s="24"/>
      <c r="K12" s="24"/>
      <c r="L12" s="24"/>
    </row>
    <row r="13" spans="1:12" ht="12" customHeight="1">
      <c r="A13" s="380">
        <v>2</v>
      </c>
      <c r="B13" s="489" t="s">
        <v>152</v>
      </c>
      <c r="C13" s="490"/>
      <c r="D13" s="490"/>
      <c r="E13" s="490"/>
      <c r="F13" s="490"/>
      <c r="G13" s="491"/>
      <c r="H13" s="46"/>
      <c r="I13" s="46"/>
      <c r="J13" s="24"/>
      <c r="K13" s="24"/>
      <c r="L13" s="24"/>
    </row>
    <row r="14" spans="1:12" ht="12" customHeight="1">
      <c r="A14" s="26" t="s">
        <v>137</v>
      </c>
      <c r="B14" s="26" t="s">
        <v>1</v>
      </c>
      <c r="C14" s="28" t="s">
        <v>130</v>
      </c>
      <c r="D14" s="27" t="s">
        <v>54</v>
      </c>
      <c r="E14" s="173" t="s">
        <v>3</v>
      </c>
      <c r="F14" s="171" t="s">
        <v>4</v>
      </c>
      <c r="G14" s="174" t="s">
        <v>5</v>
      </c>
      <c r="H14" s="175"/>
      <c r="I14" s="175"/>
      <c r="J14" s="24"/>
      <c r="K14" s="24"/>
      <c r="L14" s="24"/>
    </row>
    <row r="15" spans="1:12" ht="12" customHeight="1">
      <c r="A15" s="366" t="s">
        <v>0</v>
      </c>
      <c r="B15" s="153">
        <v>1</v>
      </c>
      <c r="C15" s="154">
        <v>5</v>
      </c>
      <c r="D15" s="368">
        <f>SUM(B15:C15)</f>
        <v>6</v>
      </c>
      <c r="E15" s="122">
        <f>IF(D17&gt;0,B15*C16/C15/B16,"")</f>
        <v>5.733333333333333</v>
      </c>
      <c r="F15" s="155"/>
      <c r="G15" s="157">
        <f>IF(G17="","",EXP(G17))</f>
        <v>0.5016193505282961</v>
      </c>
      <c r="H15" s="46"/>
      <c r="I15" s="46"/>
      <c r="J15" s="24"/>
      <c r="K15" s="24"/>
      <c r="L15" s="24"/>
    </row>
    <row r="16" spans="1:12" ht="12" customHeight="1">
      <c r="A16" s="367">
        <v>0</v>
      </c>
      <c r="B16" s="160">
        <v>3</v>
      </c>
      <c r="C16" s="161">
        <v>86</v>
      </c>
      <c r="D16" s="280">
        <f>SUM(B16:C16)</f>
        <v>89</v>
      </c>
      <c r="E16" s="123"/>
      <c r="F16" s="176"/>
      <c r="G16" s="178">
        <f>IF(G18="","",EXP(G18))</f>
        <v>65.52999017380785</v>
      </c>
      <c r="H16" s="46"/>
      <c r="I16" s="46"/>
      <c r="J16" s="24"/>
      <c r="K16" s="24"/>
      <c r="L16" s="24"/>
    </row>
    <row r="17" spans="1:12" ht="12" customHeight="1">
      <c r="A17" s="26" t="s">
        <v>54</v>
      </c>
      <c r="B17" s="26">
        <f>SUM(B15:B16)</f>
        <v>4</v>
      </c>
      <c r="C17" s="28">
        <f>SUM(C15:C16)</f>
        <v>91</v>
      </c>
      <c r="D17" s="27">
        <f>SUM(B17:C17)</f>
        <v>95</v>
      </c>
      <c r="E17" s="180">
        <f>IF(E15="","",LN(E15))</f>
        <v>1.7462970951512977</v>
      </c>
      <c r="F17" s="180">
        <f>IF(D17=0,"",SQRT(1/B15+1/B16+1/C15+1/C16))</f>
        <v>1.2429646979339668</v>
      </c>
      <c r="G17" s="180">
        <f>IF(E17="","",E17-1.96*F17)</f>
        <v>-0.6899137127992772</v>
      </c>
      <c r="H17" s="180">
        <f>IF(F17="","",1/(F17^2))</f>
        <v>0.6472654290015053</v>
      </c>
      <c r="I17" s="180">
        <f>IF(E17="","",E17*H17)</f>
        <v>1.1303177384571872</v>
      </c>
      <c r="J17" s="24"/>
      <c r="K17" s="377">
        <f>((E17-$E$47)/F17)^2</f>
        <v>0.10614504148445023</v>
      </c>
      <c r="L17" s="109">
        <f>IF(D17&gt;0,1,0)</f>
        <v>1</v>
      </c>
    </row>
    <row r="18" spans="1:12" ht="12" customHeight="1">
      <c r="A18" s="175"/>
      <c r="B18" s="209"/>
      <c r="C18" s="209"/>
      <c r="D18" s="46"/>
      <c r="E18" s="180"/>
      <c r="F18" s="180"/>
      <c r="G18" s="180">
        <f>IF(E17="","",E17+1.96*F17)</f>
        <v>4.182507903101873</v>
      </c>
      <c r="H18" s="180"/>
      <c r="I18" s="180"/>
      <c r="J18" s="24"/>
      <c r="K18" s="24"/>
      <c r="L18" s="24"/>
    </row>
    <row r="19" spans="1:12" ht="12" customHeight="1">
      <c r="A19" s="380">
        <v>3</v>
      </c>
      <c r="B19" s="489"/>
      <c r="C19" s="490"/>
      <c r="D19" s="490"/>
      <c r="E19" s="490"/>
      <c r="F19" s="490"/>
      <c r="G19" s="491"/>
      <c r="H19" s="46"/>
      <c r="I19" s="46"/>
      <c r="J19" s="24"/>
      <c r="K19" s="24"/>
      <c r="L19" s="24"/>
    </row>
    <row r="20" spans="1:12" ht="12" customHeight="1">
      <c r="A20" s="26" t="s">
        <v>137</v>
      </c>
      <c r="B20" s="26" t="s">
        <v>1</v>
      </c>
      <c r="C20" s="28" t="s">
        <v>130</v>
      </c>
      <c r="D20" s="27" t="s">
        <v>54</v>
      </c>
      <c r="E20" s="173" t="s">
        <v>3</v>
      </c>
      <c r="F20" s="171" t="s">
        <v>4</v>
      </c>
      <c r="G20" s="174" t="s">
        <v>5</v>
      </c>
      <c r="H20" s="175"/>
      <c r="I20" s="175"/>
      <c r="J20" s="24"/>
      <c r="K20" s="24"/>
      <c r="L20" s="24"/>
    </row>
    <row r="21" spans="1:12" ht="12" customHeight="1">
      <c r="A21" s="366" t="s">
        <v>0</v>
      </c>
      <c r="B21" s="153"/>
      <c r="C21" s="154"/>
      <c r="D21" s="368">
        <f>SUM(B21:C21)</f>
        <v>0</v>
      </c>
      <c r="E21" s="122">
        <f>IF(D23&gt;0,B21*C22/C21/B22,"")</f>
      </c>
      <c r="F21" s="155"/>
      <c r="G21" s="157">
        <f>IF(G23="","",EXP(G23))</f>
      </c>
      <c r="H21" s="46"/>
      <c r="I21" s="46"/>
      <c r="J21" s="24"/>
      <c r="K21" s="24"/>
      <c r="L21" s="24"/>
    </row>
    <row r="22" spans="1:12" ht="12" customHeight="1">
      <c r="A22" s="367">
        <v>0</v>
      </c>
      <c r="B22" s="160"/>
      <c r="C22" s="161"/>
      <c r="D22" s="280">
        <f>SUM(B22:C22)</f>
        <v>0</v>
      </c>
      <c r="E22" s="123"/>
      <c r="F22" s="176"/>
      <c r="G22" s="178">
        <f>IF(G24="","",EXP(G24))</f>
      </c>
      <c r="H22" s="46"/>
      <c r="I22" s="46"/>
      <c r="J22" s="24"/>
      <c r="K22" s="24"/>
      <c r="L22" s="24"/>
    </row>
    <row r="23" spans="1:12" ht="12" customHeight="1">
      <c r="A23" s="26" t="s">
        <v>54</v>
      </c>
      <c r="B23" s="26">
        <f>SUM(B21:B22)</f>
        <v>0</v>
      </c>
      <c r="C23" s="28">
        <f>SUM(C21:C22)</f>
        <v>0</v>
      </c>
      <c r="D23" s="27">
        <f>SUM(B23:C23)</f>
        <v>0</v>
      </c>
      <c r="E23" s="180">
        <f>IF(E21="","",LN(E21))</f>
      </c>
      <c r="F23" s="180">
        <f>IF(D23=0,"",SQRT(1/B21+1/B22+1/C21+1/C22))</f>
      </c>
      <c r="G23" s="180">
        <f>IF(E23="","",E23-1.96*F23)</f>
      </c>
      <c r="H23" s="180">
        <f>IF(F23="","",1/(F23^2))</f>
      </c>
      <c r="I23" s="180">
        <f>IF(E23="","",E23*H23)</f>
      </c>
      <c r="J23" s="24"/>
      <c r="K23" s="377" t="e">
        <f>((E23-$E$47)/F23)^2</f>
        <v>#VALUE!</v>
      </c>
      <c r="L23" s="109">
        <f>IF(D23&gt;0,1,0)</f>
        <v>0</v>
      </c>
    </row>
    <row r="24" spans="1:12" ht="12" customHeight="1">
      <c r="A24" s="175"/>
      <c r="B24" s="209"/>
      <c r="C24" s="209"/>
      <c r="D24" s="46"/>
      <c r="E24" s="379"/>
      <c r="F24" s="180"/>
      <c r="G24" s="180">
        <f>IF(E23="","",E23+1.96*F23)</f>
      </c>
      <c r="H24" s="180"/>
      <c r="I24" s="180"/>
      <c r="J24" s="24"/>
      <c r="K24" s="24"/>
      <c r="L24" s="24"/>
    </row>
    <row r="25" spans="1:12" ht="12" customHeight="1">
      <c r="A25" s="380">
        <v>4</v>
      </c>
      <c r="B25" s="489"/>
      <c r="C25" s="490"/>
      <c r="D25" s="490"/>
      <c r="E25" s="490"/>
      <c r="F25" s="490"/>
      <c r="G25" s="491"/>
      <c r="H25" s="46"/>
      <c r="I25" s="46"/>
      <c r="J25" s="24"/>
      <c r="K25" s="24"/>
      <c r="L25" s="24"/>
    </row>
    <row r="26" spans="1:12" ht="12" customHeight="1">
      <c r="A26" s="26" t="s">
        <v>137</v>
      </c>
      <c r="B26" s="26" t="s">
        <v>1</v>
      </c>
      <c r="C26" s="28" t="s">
        <v>130</v>
      </c>
      <c r="D26" s="27" t="s">
        <v>54</v>
      </c>
      <c r="E26" s="173" t="s">
        <v>3</v>
      </c>
      <c r="F26" s="171" t="s">
        <v>4</v>
      </c>
      <c r="G26" s="174" t="s">
        <v>5</v>
      </c>
      <c r="H26" s="175"/>
      <c r="I26" s="175"/>
      <c r="J26" s="24"/>
      <c r="K26" s="24"/>
      <c r="L26" s="24"/>
    </row>
    <row r="27" spans="1:12" ht="12" customHeight="1">
      <c r="A27" s="366" t="s">
        <v>0</v>
      </c>
      <c r="B27" s="153"/>
      <c r="C27" s="154"/>
      <c r="D27" s="368">
        <f>SUM(B27:C27)</f>
        <v>0</v>
      </c>
      <c r="E27" s="122">
        <f>IF(D29&gt;0,B27*C28/C27/B28,"")</f>
      </c>
      <c r="F27" s="155"/>
      <c r="G27" s="157">
        <f>IF(G29="","",EXP(G29))</f>
      </c>
      <c r="H27" s="46"/>
      <c r="I27" s="46"/>
      <c r="J27" s="24"/>
      <c r="K27" s="24"/>
      <c r="L27" s="24"/>
    </row>
    <row r="28" spans="1:12" ht="12" customHeight="1">
      <c r="A28" s="367">
        <v>0</v>
      </c>
      <c r="B28" s="160"/>
      <c r="C28" s="161"/>
      <c r="D28" s="280">
        <f>SUM(B28:C28)</f>
        <v>0</v>
      </c>
      <c r="E28" s="123"/>
      <c r="F28" s="176"/>
      <c r="G28" s="178">
        <f>IF(G30="","",EXP(G30))</f>
      </c>
      <c r="H28" s="46"/>
      <c r="I28" s="46"/>
      <c r="J28" s="24"/>
      <c r="K28" s="24"/>
      <c r="L28" s="24"/>
    </row>
    <row r="29" spans="1:12" ht="12" customHeight="1">
      <c r="A29" s="26" t="s">
        <v>54</v>
      </c>
      <c r="B29" s="26">
        <f>SUM(B27:B28)</f>
        <v>0</v>
      </c>
      <c r="C29" s="28">
        <f>SUM(C27:C28)</f>
        <v>0</v>
      </c>
      <c r="D29" s="27">
        <f>SUM(B29:C29)</f>
        <v>0</v>
      </c>
      <c r="E29" s="180">
        <f>IF(E27="","",LN(E27))</f>
      </c>
      <c r="F29" s="180">
        <f>IF(D29=0,"",SQRT(1/B27+1/B28+1/C27+1/C28))</f>
      </c>
      <c r="G29" s="180">
        <f>IF(E29="","",E29-1.96*F29)</f>
      </c>
      <c r="H29" s="180">
        <f>IF(F29="","",1/(F29^2))</f>
      </c>
      <c r="I29" s="180">
        <f>IF(E29="","",E29*H29)</f>
      </c>
      <c r="J29" s="24"/>
      <c r="K29" s="377" t="e">
        <f>((E29-$E$47)/F29)^2</f>
        <v>#VALUE!</v>
      </c>
      <c r="L29" s="109">
        <f>IF(D29&gt;0,1,0)</f>
        <v>0</v>
      </c>
    </row>
    <row r="30" spans="1:12" ht="12" customHeight="1">
      <c r="A30" s="175"/>
      <c r="B30" s="209"/>
      <c r="C30" s="209"/>
      <c r="D30" s="46"/>
      <c r="E30" s="180"/>
      <c r="F30" s="180"/>
      <c r="G30" s="180">
        <f>IF(E29="","",E29+1.96*F29)</f>
      </c>
      <c r="H30" s="180"/>
      <c r="I30" s="180"/>
      <c r="J30" s="24"/>
      <c r="K30" s="24"/>
      <c r="L30" s="24"/>
    </row>
    <row r="31" spans="1:12" ht="12" customHeight="1">
      <c r="A31" s="380">
        <v>5</v>
      </c>
      <c r="B31" s="489"/>
      <c r="C31" s="490"/>
      <c r="D31" s="490"/>
      <c r="E31" s="490"/>
      <c r="F31" s="490"/>
      <c r="G31" s="491"/>
      <c r="H31" s="46"/>
      <c r="I31" s="46"/>
      <c r="J31" s="24"/>
      <c r="K31" s="24"/>
      <c r="L31" s="24"/>
    </row>
    <row r="32" spans="1:12" ht="12" customHeight="1">
      <c r="A32" s="26" t="s">
        <v>137</v>
      </c>
      <c r="B32" s="26" t="s">
        <v>1</v>
      </c>
      <c r="C32" s="28" t="s">
        <v>130</v>
      </c>
      <c r="D32" s="27" t="s">
        <v>54</v>
      </c>
      <c r="E32" s="173" t="s">
        <v>3</v>
      </c>
      <c r="F32" s="171" t="s">
        <v>4</v>
      </c>
      <c r="G32" s="174" t="s">
        <v>5</v>
      </c>
      <c r="H32" s="175"/>
      <c r="I32" s="175"/>
      <c r="J32" s="24"/>
      <c r="K32" s="24"/>
      <c r="L32" s="24"/>
    </row>
    <row r="33" spans="1:12" ht="12" customHeight="1">
      <c r="A33" s="366" t="s">
        <v>0</v>
      </c>
      <c r="B33" s="153"/>
      <c r="C33" s="154"/>
      <c r="D33" s="368">
        <f>SUM(B33:C33)</f>
        <v>0</v>
      </c>
      <c r="E33" s="122">
        <f>IF(D35&gt;0,B33*C34/C33/B34,"")</f>
      </c>
      <c r="F33" s="155"/>
      <c r="G33" s="157">
        <f>IF(G35="","",EXP(G35))</f>
      </c>
      <c r="H33" s="46"/>
      <c r="I33" s="46"/>
      <c r="J33" s="24"/>
      <c r="K33" s="24"/>
      <c r="L33" s="24"/>
    </row>
    <row r="34" spans="1:12" ht="12" customHeight="1">
      <c r="A34" s="367">
        <v>0</v>
      </c>
      <c r="B34" s="160"/>
      <c r="C34" s="161"/>
      <c r="D34" s="280">
        <f>SUM(B34:C34)</f>
        <v>0</v>
      </c>
      <c r="E34" s="123"/>
      <c r="F34" s="176"/>
      <c r="G34" s="178">
        <f>IF(G36="","",EXP(G36))</f>
      </c>
      <c r="H34" s="46"/>
      <c r="I34" s="46"/>
      <c r="J34" s="24"/>
      <c r="K34" s="24"/>
      <c r="L34" s="24"/>
    </row>
    <row r="35" spans="1:12" ht="12" customHeight="1">
      <c r="A35" s="26" t="s">
        <v>54</v>
      </c>
      <c r="B35" s="26">
        <f>SUM(B33:B34)</f>
        <v>0</v>
      </c>
      <c r="C35" s="28">
        <f>SUM(C33:C34)</f>
        <v>0</v>
      </c>
      <c r="D35" s="27">
        <f>SUM(B35:C35)</f>
        <v>0</v>
      </c>
      <c r="E35" s="180">
        <f>IF(E33="","",LN(E33))</f>
      </c>
      <c r="F35" s="180">
        <f>IF(D35=0,"",SQRT(1/B33+1/B34+1/C33+1/C34))</f>
      </c>
      <c r="G35" s="180">
        <f>IF(E35="","",E35-1.96*F35)</f>
      </c>
      <c r="H35" s="180">
        <f>IF(F35="","",1/(F35^2))</f>
      </c>
      <c r="I35" s="180">
        <f>IF(E35="","",E35*H35)</f>
      </c>
      <c r="J35" s="24"/>
      <c r="K35" s="377" t="e">
        <f>((E35-$E$47)/F35)^2</f>
        <v>#VALUE!</v>
      </c>
      <c r="L35" s="109">
        <f>IF(D35&gt;0,1,0)</f>
        <v>0</v>
      </c>
    </row>
    <row r="36" spans="1:12" ht="12" customHeight="1">
      <c r="A36" s="175"/>
      <c r="B36" s="209"/>
      <c r="C36" s="209"/>
      <c r="D36" s="46"/>
      <c r="E36" s="180"/>
      <c r="F36" s="180"/>
      <c r="G36" s="180">
        <f>IF(E35="","",E35+1.96*F35)</f>
      </c>
      <c r="H36" s="180"/>
      <c r="I36" s="180"/>
      <c r="J36" s="24"/>
      <c r="K36" s="24"/>
      <c r="L36" s="24"/>
    </row>
    <row r="37" spans="1:12" ht="12" customHeight="1">
      <c r="A37" s="380">
        <v>6</v>
      </c>
      <c r="B37" s="489"/>
      <c r="C37" s="490"/>
      <c r="D37" s="490"/>
      <c r="E37" s="490"/>
      <c r="F37" s="490"/>
      <c r="G37" s="491"/>
      <c r="H37" s="46"/>
      <c r="I37" s="46"/>
      <c r="J37" s="24"/>
      <c r="K37" s="24"/>
      <c r="L37" s="24"/>
    </row>
    <row r="38" spans="1:12" ht="12" customHeight="1">
      <c r="A38" s="26" t="s">
        <v>137</v>
      </c>
      <c r="B38" s="26" t="s">
        <v>1</v>
      </c>
      <c r="C38" s="28" t="s">
        <v>130</v>
      </c>
      <c r="D38" s="27" t="s">
        <v>54</v>
      </c>
      <c r="E38" s="173" t="s">
        <v>3</v>
      </c>
      <c r="F38" s="171" t="s">
        <v>4</v>
      </c>
      <c r="G38" s="174" t="s">
        <v>5</v>
      </c>
      <c r="H38" s="175"/>
      <c r="I38" s="175"/>
      <c r="J38" s="24"/>
      <c r="K38" s="24"/>
      <c r="L38" s="24"/>
    </row>
    <row r="39" spans="1:12" ht="12" customHeight="1">
      <c r="A39" s="366" t="s">
        <v>0</v>
      </c>
      <c r="B39" s="153"/>
      <c r="C39" s="154"/>
      <c r="D39" s="368">
        <f>SUM(B39:C39)</f>
        <v>0</v>
      </c>
      <c r="E39" s="122">
        <f>IF(D41&gt;0,B39*C40/C39/B40,"")</f>
      </c>
      <c r="F39" s="155"/>
      <c r="G39" s="157">
        <f>IF(G41="","",EXP(G41))</f>
      </c>
      <c r="H39" s="46"/>
      <c r="I39" s="46"/>
      <c r="J39" s="24"/>
      <c r="K39" s="24"/>
      <c r="L39" s="24"/>
    </row>
    <row r="40" spans="1:12" ht="12" customHeight="1">
      <c r="A40" s="367">
        <v>0</v>
      </c>
      <c r="B40" s="160"/>
      <c r="C40" s="161"/>
      <c r="D40" s="280">
        <f>SUM(B40:C40)</f>
        <v>0</v>
      </c>
      <c r="E40" s="123"/>
      <c r="F40" s="176"/>
      <c r="G40" s="178">
        <f>IF(G42="","",EXP(G42))</f>
      </c>
      <c r="H40" s="46"/>
      <c r="I40" s="46"/>
      <c r="J40" s="24"/>
      <c r="K40" s="24"/>
      <c r="L40" s="24"/>
    </row>
    <row r="41" spans="1:12" ht="12" customHeight="1">
      <c r="A41" s="26" t="s">
        <v>54</v>
      </c>
      <c r="B41" s="26">
        <f>SUM(B39:B40)</f>
        <v>0</v>
      </c>
      <c r="C41" s="28">
        <f>SUM(C39:C40)</f>
        <v>0</v>
      </c>
      <c r="D41" s="27">
        <f>SUM(B41:C41)</f>
        <v>0</v>
      </c>
      <c r="E41" s="180">
        <f>IF(E39="","",LN(E39))</f>
      </c>
      <c r="F41" s="180">
        <f>IF(D41=0,"",SQRT(1/B39+1/B40+1/C39+1/C40))</f>
      </c>
      <c r="G41" s="180">
        <f>IF(E41="","",E41-1.96*F41)</f>
      </c>
      <c r="H41" s="180">
        <f>IF(F41="","",1/(F41^2))</f>
      </c>
      <c r="I41" s="180">
        <f>IF(E41="","",E41*H41)</f>
      </c>
      <c r="J41" s="24"/>
      <c r="K41" s="377" t="e">
        <f>((E41-$E$47)/F41)^2</f>
        <v>#VALUE!</v>
      </c>
      <c r="L41" s="109">
        <f>IF(D41&gt;0,1,0)</f>
        <v>0</v>
      </c>
    </row>
    <row r="42" spans="1:12" ht="12" customHeight="1">
      <c r="A42" s="208"/>
      <c r="B42" s="209"/>
      <c r="C42" s="209"/>
      <c r="D42" s="46"/>
      <c r="E42" s="180"/>
      <c r="F42" s="180"/>
      <c r="G42" s="180">
        <f>IF(E41="","",E41+1.96*F41)</f>
      </c>
      <c r="H42" s="180"/>
      <c r="I42" s="180"/>
      <c r="J42" s="24"/>
      <c r="K42" s="24"/>
      <c r="L42" s="24"/>
    </row>
    <row r="43" spans="1:12" ht="12" customHeight="1">
      <c r="A43" s="428" t="s">
        <v>220</v>
      </c>
      <c r="B43" s="428"/>
      <c r="C43" s="428"/>
      <c r="D43" s="46"/>
      <c r="E43" s="496" t="s">
        <v>26</v>
      </c>
      <c r="F43" s="496"/>
      <c r="G43" s="496"/>
      <c r="H43" s="498" t="s">
        <v>219</v>
      </c>
      <c r="I43" s="498"/>
      <c r="J43" s="24"/>
      <c r="K43" s="24"/>
      <c r="L43" s="24"/>
    </row>
    <row r="44" spans="1:12" ht="12" customHeight="1">
      <c r="A44" s="58" t="s">
        <v>15</v>
      </c>
      <c r="B44" s="378" t="s">
        <v>160</v>
      </c>
      <c r="C44" s="142" t="s">
        <v>29</v>
      </c>
      <c r="D44" s="211"/>
      <c r="E44" s="230" t="s">
        <v>3</v>
      </c>
      <c r="F44" s="174" t="s">
        <v>4</v>
      </c>
      <c r="G44" s="230" t="s">
        <v>5</v>
      </c>
      <c r="I44" s="374">
        <v>1</v>
      </c>
      <c r="J44" s="24"/>
      <c r="K44" s="24"/>
      <c r="L44" s="24"/>
    </row>
    <row r="45" spans="1:12" ht="12" customHeight="1">
      <c r="A45" s="164">
        <f>K47</f>
        <v>0.1374056514734674</v>
      </c>
      <c r="B45" s="311">
        <f>L47-1</f>
        <v>1</v>
      </c>
      <c r="C45" s="97">
        <f>CHIDIST(A45,B45)</f>
        <v>0.7108738899021779</v>
      </c>
      <c r="D45" s="49"/>
      <c r="E45" s="215">
        <f>EXP(E47)</f>
        <v>3.8241657475295305</v>
      </c>
      <c r="F45" s="157"/>
      <c r="G45" s="215">
        <f>EXP(G47)</f>
        <v>1.1964113348816052</v>
      </c>
      <c r="H45" s="245" t="s">
        <v>22</v>
      </c>
      <c r="I45" s="391">
        <f>(E47-LN(I44))/F47</f>
        <v>2.262474874171815</v>
      </c>
      <c r="J45" s="24">
        <f>SUMIF(I11:I41,"&gt;0")</f>
        <v>3.816177304310663</v>
      </c>
      <c r="K45" s="24"/>
      <c r="L45" s="24"/>
    </row>
    <row r="46" spans="1:12" ht="12" customHeight="1">
      <c r="A46" s="94"/>
      <c r="C46" s="40"/>
      <c r="D46" s="49"/>
      <c r="E46" s="176"/>
      <c r="F46" s="178"/>
      <c r="G46" s="375">
        <f>EXP(G48)</f>
        <v>12.2234245348614</v>
      </c>
      <c r="H46" s="94" t="s">
        <v>129</v>
      </c>
      <c r="I46" s="345">
        <f>2*(1-NORMSDIST(ABS(I45)))</f>
        <v>0.023668079498075922</v>
      </c>
      <c r="J46" s="24">
        <f>SUMIF(I11:I41,"&lt;0")</f>
        <v>0</v>
      </c>
      <c r="K46" s="24"/>
      <c r="L46" s="24"/>
    </row>
    <row r="47" spans="1:13" ht="12" customHeight="1">
      <c r="A47" s="24"/>
      <c r="B47" s="24"/>
      <c r="C47" s="24"/>
      <c r="D47" s="46"/>
      <c r="E47" s="180">
        <f>I47/H47</f>
        <v>1.3413403382690587</v>
      </c>
      <c r="F47" s="180">
        <f>SQRT(1/H47)</f>
        <v>0.5928641920322143</v>
      </c>
      <c r="G47" s="180">
        <f>E47-1.96*F47</f>
        <v>0.1793265218859188</v>
      </c>
      <c r="H47" s="180">
        <f>SUMIF(H11:H42,"&gt;0")</f>
        <v>2.8450477447321636</v>
      </c>
      <c r="I47" s="180">
        <f>SUM(J45:J46)</f>
        <v>3.816177304310663</v>
      </c>
      <c r="J47" s="24"/>
      <c r="K47" s="180">
        <f>SUMIF(K11:K42,"&gt;0")</f>
        <v>0.1374056514734674</v>
      </c>
      <c r="L47" s="109">
        <f>SUMIF(L11:L42,"&gt;0")</f>
        <v>2</v>
      </c>
      <c r="M47" s="24"/>
    </row>
    <row r="48" spans="1:13" ht="12" customHeight="1">
      <c r="A48" s="402" t="s">
        <v>221</v>
      </c>
      <c r="B48" s="402"/>
      <c r="C48" s="402"/>
      <c r="D48" s="402"/>
      <c r="E48" s="180"/>
      <c r="F48" s="180"/>
      <c r="G48" s="180">
        <f>E47+1.96*F47</f>
        <v>2.5033541546521985</v>
      </c>
      <c r="H48" s="180"/>
      <c r="I48" s="180"/>
      <c r="J48" s="24"/>
      <c r="K48" s="24"/>
      <c r="L48" s="24"/>
      <c r="M48" s="24"/>
    </row>
    <row r="49" spans="1:13" ht="12" customHeight="1">
      <c r="A49" s="59" t="s">
        <v>192</v>
      </c>
      <c r="B49" s="60" t="s">
        <v>3</v>
      </c>
      <c r="C49" s="473" t="s">
        <v>18</v>
      </c>
      <c r="D49" s="427"/>
      <c r="E49" s="383" t="s">
        <v>223</v>
      </c>
      <c r="F49" s="180"/>
      <c r="G49" s="180"/>
      <c r="H49" s="180"/>
      <c r="I49" s="180"/>
      <c r="J49" s="24"/>
      <c r="K49" s="24"/>
      <c r="L49" s="24"/>
      <c r="M49" s="24"/>
    </row>
    <row r="50" spans="1:13" ht="12" customHeight="1">
      <c r="A50" s="285">
        <v>1</v>
      </c>
      <c r="B50" s="386">
        <f>CHOOSE(A50,E9,E15,E21,E27,E33,E39)</f>
        <v>3.394230769230769</v>
      </c>
      <c r="C50" s="185">
        <f>CHOOSE(A50,G9,G15,G21,G27,G33,G39)</f>
        <v>0.9048183230053207</v>
      </c>
      <c r="D50" s="186">
        <f>CHOOSE(A50,G10,G16,G22,G28,G34,G40)</f>
        <v>12.732724594399212</v>
      </c>
      <c r="E50" s="388">
        <f>CHOOSE(A50,F11,F17,F23,F29,F35,F41)</f>
        <v>0.6745399292281342</v>
      </c>
      <c r="F50" s="381" t="s">
        <v>22</v>
      </c>
      <c r="G50" s="390">
        <f>LN(B52)/E52</f>
        <v>-0.37068268299647794</v>
      </c>
      <c r="H50" s="180"/>
      <c r="I50" s="180"/>
      <c r="J50" s="24"/>
      <c r="K50" s="24"/>
      <c r="L50" s="24"/>
      <c r="M50" s="24"/>
    </row>
    <row r="51" spans="1:13" ht="12" customHeight="1">
      <c r="A51" s="274">
        <v>2</v>
      </c>
      <c r="B51" s="387">
        <f>CHOOSE(A51,E9,E15,E21,E27,E33,E39)</f>
        <v>5.733333333333333</v>
      </c>
      <c r="C51" s="187">
        <f>CHOOSE(A51,G9,G15,G21,G27,G33,G39)</f>
        <v>0.5016193505282961</v>
      </c>
      <c r="D51" s="188">
        <f>CHOOSE(A51,G10,G16,G22,G28,G34,G40)</f>
        <v>65.52999017380785</v>
      </c>
      <c r="E51" s="389">
        <f>CHOOSE(A51,F11,F17,F23,F29,F35,F41)</f>
        <v>1.2429646979339668</v>
      </c>
      <c r="F51" s="381" t="s">
        <v>129</v>
      </c>
      <c r="G51" s="345">
        <f>2*(1-NORMSDIST(ABS(G50)))</f>
        <v>0.7108738898695415</v>
      </c>
      <c r="H51" s="180"/>
      <c r="I51" s="180"/>
      <c r="J51" s="24"/>
      <c r="K51" s="24"/>
      <c r="L51" s="24"/>
      <c r="M51" s="24"/>
    </row>
    <row r="52" spans="1:12" ht="12" customHeight="1">
      <c r="A52" s="43" t="s">
        <v>222</v>
      </c>
      <c r="B52" s="177">
        <f>B50/B51</f>
        <v>0.5920169946332737</v>
      </c>
      <c r="C52" s="384">
        <f>EXP(LN(B52)-1.96*E52)</f>
        <v>0.03702897692399962</v>
      </c>
      <c r="D52" s="385">
        <f>EXP(LN(B52)+1.96*E52)</f>
        <v>9.465131122957223</v>
      </c>
      <c r="E52" s="382">
        <f>SQRT(E50^2+E51^2)</f>
        <v>1.41420131396954</v>
      </c>
      <c r="F52" s="180"/>
      <c r="G52" s="180"/>
      <c r="H52" s="180"/>
      <c r="I52" s="180"/>
      <c r="J52" s="24"/>
      <c r="K52" s="24"/>
      <c r="L52" s="24"/>
    </row>
    <row r="53" spans="1:12" ht="12" customHeight="1">
      <c r="A53" s="179"/>
      <c r="B53" s="24"/>
      <c r="C53" s="48"/>
      <c r="D53" s="46"/>
      <c r="E53" s="46"/>
      <c r="F53" s="46"/>
      <c r="G53" s="46"/>
      <c r="H53" s="46"/>
      <c r="I53" s="46"/>
      <c r="J53" s="24"/>
      <c r="K53" s="24"/>
      <c r="L53" s="24"/>
    </row>
    <row r="54" spans="1:12" ht="12" customHeight="1">
      <c r="A54" s="25" t="s">
        <v>54</v>
      </c>
      <c r="B54" s="24"/>
      <c r="C54" s="24"/>
      <c r="D54" s="46"/>
      <c r="E54" s="497" t="s">
        <v>56</v>
      </c>
      <c r="F54" s="497"/>
      <c r="G54" s="497"/>
      <c r="H54" s="495" t="s">
        <v>219</v>
      </c>
      <c r="I54" s="495"/>
      <c r="J54" s="495"/>
      <c r="K54" s="24"/>
      <c r="L54" s="24"/>
    </row>
    <row r="55" spans="1:12" ht="12" customHeight="1">
      <c r="A55" s="26" t="s">
        <v>137</v>
      </c>
      <c r="B55" s="26" t="s">
        <v>1</v>
      </c>
      <c r="C55" s="28" t="s">
        <v>130</v>
      </c>
      <c r="D55" s="27" t="s">
        <v>54</v>
      </c>
      <c r="E55" s="173" t="s">
        <v>3</v>
      </c>
      <c r="F55" s="171" t="s">
        <v>4</v>
      </c>
      <c r="G55" s="171" t="s">
        <v>5</v>
      </c>
      <c r="I55" s="376">
        <v>1</v>
      </c>
      <c r="J55" s="24"/>
      <c r="K55" s="24"/>
      <c r="L55" s="24"/>
    </row>
    <row r="56" spans="1:12" ht="12" customHeight="1">
      <c r="A56" s="286" t="s">
        <v>0</v>
      </c>
      <c r="B56" s="220">
        <f>SUM(B9,B15,B21,B27,B33)</f>
        <v>4</v>
      </c>
      <c r="C56" s="221">
        <f>SUM(C9,C15,C21,C27,C33)</f>
        <v>109</v>
      </c>
      <c r="D56" s="286">
        <f>SUM(B56:C56)</f>
        <v>113</v>
      </c>
      <c r="E56" s="222">
        <f>B56*C57/C56/B57</f>
        <v>3.501529051987768</v>
      </c>
      <c r="F56" s="155"/>
      <c r="G56" s="216">
        <f>EXP(G58)</f>
        <v>1.1103383823185715</v>
      </c>
      <c r="H56" s="245" t="s">
        <v>22</v>
      </c>
      <c r="I56" s="391">
        <f>(E58-LN(I55))/F58</f>
        <v>2.138612803163107</v>
      </c>
      <c r="J56" s="24"/>
      <c r="K56" s="24"/>
      <c r="L56" s="24"/>
    </row>
    <row r="57" spans="1:12" ht="12" customHeight="1">
      <c r="A57" s="277">
        <v>0</v>
      </c>
      <c r="B57" s="223">
        <f>SUM(B10,B16,B22,B28,B34)</f>
        <v>12</v>
      </c>
      <c r="C57" s="224">
        <f>SUM(C10,C16,C22,C28,C34)</f>
        <v>1145</v>
      </c>
      <c r="D57" s="277">
        <f>SUM(B57:C57)</f>
        <v>1157</v>
      </c>
      <c r="E57" s="123"/>
      <c r="F57" s="176"/>
      <c r="G57" s="218">
        <f>EXP(G59)</f>
        <v>11.042314574690248</v>
      </c>
      <c r="H57" s="94" t="s">
        <v>129</v>
      </c>
      <c r="I57" s="345">
        <f>2*(1-NORMSDIST(ABS(I56)))</f>
        <v>0.032467039734745295</v>
      </c>
      <c r="J57" s="24"/>
      <c r="K57" s="24"/>
      <c r="L57" s="24"/>
    </row>
    <row r="58" spans="1:12" ht="12" customHeight="1">
      <c r="A58" s="26" t="s">
        <v>54</v>
      </c>
      <c r="B58" s="26">
        <f>SUM(B56:B57)</f>
        <v>16</v>
      </c>
      <c r="C58" s="28">
        <f>SUM(C56:C57)</f>
        <v>1254</v>
      </c>
      <c r="D58" s="27">
        <f>SUM(B58:C58)</f>
        <v>1270</v>
      </c>
      <c r="E58" s="180">
        <f>LN(E56)</f>
        <v>1.2531997450910868</v>
      </c>
      <c r="F58" s="180">
        <f>SQRT(1/B56+1/B57+1/C56+1/C57)</f>
        <v>0.5859872078000967</v>
      </c>
      <c r="G58" s="180">
        <f>E58-1.96*F58</f>
        <v>0.10466481780289727</v>
      </c>
      <c r="H58" s="46"/>
      <c r="I58" s="46"/>
      <c r="J58" s="24"/>
      <c r="K58" s="24"/>
      <c r="L58" s="24"/>
    </row>
    <row r="59" spans="1:12" ht="12" customHeight="1">
      <c r="A59" s="208"/>
      <c r="B59" s="209"/>
      <c r="C59" s="209"/>
      <c r="D59" s="46"/>
      <c r="E59" s="180"/>
      <c r="F59" s="180"/>
      <c r="G59" s="180">
        <f>E58+1.96*F58</f>
        <v>2.401734672379276</v>
      </c>
      <c r="H59" s="46"/>
      <c r="I59" s="46"/>
      <c r="J59" s="24"/>
      <c r="K59" s="24"/>
      <c r="L59" s="24"/>
    </row>
    <row r="60" spans="1:9" ht="12.75">
      <c r="A60" s="3"/>
      <c r="B60" s="4"/>
      <c r="C60" s="4"/>
      <c r="D60" s="1"/>
      <c r="H60" s="1"/>
      <c r="I60" s="1"/>
    </row>
  </sheetData>
  <sheetProtection sheet="1" objects="1" scenarios="1"/>
  <mergeCells count="17">
    <mergeCell ref="B19:G19"/>
    <mergeCell ref="B25:G25"/>
    <mergeCell ref="I1:I2"/>
    <mergeCell ref="H43:I43"/>
    <mergeCell ref="A4:G4"/>
    <mergeCell ref="B7:G7"/>
    <mergeCell ref="B13:G13"/>
    <mergeCell ref="H54:J54"/>
    <mergeCell ref="E43:G43"/>
    <mergeCell ref="E54:G54"/>
    <mergeCell ref="C1:F1"/>
    <mergeCell ref="A43:C43"/>
    <mergeCell ref="C49:D49"/>
    <mergeCell ref="A48:D48"/>
    <mergeCell ref="B31:G31"/>
    <mergeCell ref="B37:G37"/>
    <mergeCell ref="A3:G3"/>
  </mergeCells>
  <hyperlinks>
    <hyperlink ref="I1:I2" location="Start!A1" display="Start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J58"/>
  <sheetViews>
    <sheetView workbookViewId="0" topLeftCell="A1">
      <selection activeCell="D50" sqref="D50"/>
    </sheetView>
  </sheetViews>
  <sheetFormatPr defaultColWidth="9.140625" defaultRowHeight="12.75"/>
  <cols>
    <col min="1" max="2" width="8.7109375" style="0" customWidth="1"/>
    <col min="3" max="3" width="11.7109375" style="0" customWidth="1"/>
    <col min="4" max="9" width="8.7109375" style="0" customWidth="1"/>
    <col min="10" max="10" width="9.140625" style="0" hidden="1" customWidth="1"/>
  </cols>
  <sheetData>
    <row r="1" spans="1:9" ht="12" customHeight="1">
      <c r="A1" s="7" t="s">
        <v>180</v>
      </c>
      <c r="C1" s="461" t="s">
        <v>181</v>
      </c>
      <c r="D1" s="461"/>
      <c r="E1" s="461"/>
      <c r="F1" s="461"/>
      <c r="I1" s="470" t="s">
        <v>218</v>
      </c>
    </row>
    <row r="2" spans="1:9" ht="12" customHeight="1">
      <c r="A2" s="7"/>
      <c r="C2" s="307"/>
      <c r="D2" s="307"/>
      <c r="E2" s="307"/>
      <c r="F2" s="307"/>
      <c r="I2" s="471"/>
    </row>
    <row r="3" spans="1:2" ht="12" customHeight="1">
      <c r="A3" s="7"/>
      <c r="B3" s="7"/>
    </row>
    <row r="4" spans="1:9" ht="12" customHeight="1">
      <c r="A4" s="24"/>
      <c r="B4" s="24"/>
      <c r="C4" s="24"/>
      <c r="D4" s="24"/>
      <c r="E4" s="24"/>
      <c r="F4" s="24"/>
      <c r="G4" s="24"/>
      <c r="H4" s="24"/>
      <c r="I4" s="24"/>
    </row>
    <row r="5" spans="1:9" ht="12" customHeight="1">
      <c r="A5" s="429" t="s">
        <v>142</v>
      </c>
      <c r="B5" s="430"/>
      <c r="C5" s="430"/>
      <c r="D5" s="430"/>
      <c r="E5" s="430"/>
      <c r="F5" s="430"/>
      <c r="G5" s="431"/>
      <c r="H5" s="24"/>
      <c r="I5" s="24"/>
    </row>
    <row r="6" spans="1:9" ht="12" customHeight="1">
      <c r="A6" s="406" t="s">
        <v>145</v>
      </c>
      <c r="B6" s="407"/>
      <c r="C6" s="407"/>
      <c r="D6" s="407"/>
      <c r="E6" s="407"/>
      <c r="F6" s="407"/>
      <c r="G6" s="408"/>
      <c r="H6" s="24"/>
      <c r="I6" s="24"/>
    </row>
    <row r="7" spans="1:9" ht="12" customHeight="1">
      <c r="A7" s="249"/>
      <c r="B7" s="249"/>
      <c r="C7" s="249"/>
      <c r="D7" s="249"/>
      <c r="E7" s="249"/>
      <c r="F7" s="249"/>
      <c r="G7" s="249"/>
      <c r="H7" s="24"/>
      <c r="I7" s="24"/>
    </row>
    <row r="8" spans="1:9" ht="12" customHeight="1">
      <c r="A8" s="489" t="s">
        <v>143</v>
      </c>
      <c r="B8" s="490"/>
      <c r="C8" s="490"/>
      <c r="D8" s="491"/>
      <c r="E8" s="24"/>
      <c r="F8" s="24"/>
      <c r="G8" s="24"/>
      <c r="H8" s="24"/>
      <c r="I8" s="24"/>
    </row>
    <row r="9" spans="1:9" ht="12" customHeight="1">
      <c r="A9" s="26" t="s">
        <v>137</v>
      </c>
      <c r="B9" s="26" t="s">
        <v>10</v>
      </c>
      <c r="C9" s="28" t="s">
        <v>11</v>
      </c>
      <c r="D9" s="27" t="s">
        <v>12</v>
      </c>
      <c r="E9" s="173" t="s">
        <v>14</v>
      </c>
      <c r="F9" s="171" t="s">
        <v>4</v>
      </c>
      <c r="G9" s="174" t="s">
        <v>5</v>
      </c>
      <c r="H9" s="395" t="s">
        <v>8</v>
      </c>
      <c r="I9" s="395" t="s">
        <v>21</v>
      </c>
    </row>
    <row r="10" spans="1:9" ht="12" customHeight="1">
      <c r="A10" s="30" t="s">
        <v>0</v>
      </c>
      <c r="B10" s="153">
        <v>14</v>
      </c>
      <c r="C10" s="304">
        <v>1516</v>
      </c>
      <c r="D10" s="250">
        <f>IF(C10=0,"",$D$13*B10/C10)</f>
        <v>9.234828496042216</v>
      </c>
      <c r="E10" s="122">
        <f>IF(D11="","",D10/D11)</f>
        <v>1.5708443271767807</v>
      </c>
      <c r="F10" s="155"/>
      <c r="G10" s="157">
        <f>IF(G12="","",EXP(G12))</f>
        <v>0.6977434213606251</v>
      </c>
      <c r="H10" s="46"/>
      <c r="I10" s="46"/>
    </row>
    <row r="11" spans="1:9" ht="12" customHeight="1">
      <c r="A11" s="30">
        <v>0</v>
      </c>
      <c r="B11" s="160">
        <v>10</v>
      </c>
      <c r="C11" s="305">
        <v>1701</v>
      </c>
      <c r="D11" s="251">
        <f>IF(C11=0,"",$D$13*B11/C11)</f>
        <v>5.878894767783657</v>
      </c>
      <c r="E11" s="123"/>
      <c r="F11" s="176"/>
      <c r="G11" s="178">
        <f>IF(G13="","",EXP(G13))</f>
        <v>3.536474619010605</v>
      </c>
      <c r="H11" s="46"/>
      <c r="I11" s="46"/>
    </row>
    <row r="12" spans="1:9" ht="12" customHeight="1">
      <c r="A12" s="26" t="s">
        <v>54</v>
      </c>
      <c r="B12" s="26">
        <f>SUM(B10:B11)</f>
        <v>24</v>
      </c>
      <c r="C12" s="306">
        <f>SUM(C10:C11)</f>
        <v>3217</v>
      </c>
      <c r="D12" s="251">
        <f>IF(C12=0,"",$D$13*B12/C12)</f>
        <v>7.460366801367734</v>
      </c>
      <c r="E12" s="180">
        <f>IF(E10="","",LN(E10))</f>
        <v>0.4516132628147575</v>
      </c>
      <c r="F12" s="180">
        <f>IF(B12=0,"",SQRT(1/B10+1/B11))</f>
        <v>0.4140393356054125</v>
      </c>
      <c r="G12" s="180">
        <f>IF(E12="","",E12-1.96*F12)</f>
        <v>-0.359903834971851</v>
      </c>
      <c r="H12" s="180">
        <f>IF(F12="","",1/(F12^2))</f>
        <v>5.833333333333334</v>
      </c>
      <c r="I12" s="180">
        <f>IF(E12="","",E12*H12)</f>
        <v>2.6344106997527525</v>
      </c>
    </row>
    <row r="13" spans="1:9" ht="12" customHeight="1">
      <c r="A13" s="208"/>
      <c r="B13" s="209"/>
      <c r="C13" s="253" t="s">
        <v>28</v>
      </c>
      <c r="D13" s="31">
        <v>1000</v>
      </c>
      <c r="E13" s="240"/>
      <c r="F13" s="240"/>
      <c r="G13" s="180">
        <f>IF(E12="","",E12+1.96*F12)</f>
        <v>1.263130360601366</v>
      </c>
      <c r="H13" s="240"/>
      <c r="I13" s="240"/>
    </row>
    <row r="14" spans="1:9" ht="12" customHeight="1">
      <c r="A14" s="208"/>
      <c r="B14" s="209"/>
      <c r="C14" s="254"/>
      <c r="D14" s="24"/>
      <c r="E14" s="24"/>
      <c r="F14" s="24"/>
      <c r="G14" s="24"/>
      <c r="H14" s="24"/>
      <c r="I14" s="24"/>
    </row>
    <row r="15" spans="1:9" ht="12" customHeight="1">
      <c r="A15" s="489" t="s">
        <v>144</v>
      </c>
      <c r="B15" s="490"/>
      <c r="C15" s="490"/>
      <c r="D15" s="491"/>
      <c r="E15" s="24"/>
      <c r="F15" s="24"/>
      <c r="G15" s="24"/>
      <c r="H15" s="24"/>
      <c r="I15" s="24"/>
    </row>
    <row r="16" spans="1:9" ht="12" customHeight="1">
      <c r="A16" s="26" t="s">
        <v>137</v>
      </c>
      <c r="B16" s="26" t="s">
        <v>10</v>
      </c>
      <c r="C16" s="255" t="s">
        <v>11</v>
      </c>
      <c r="D16" s="27" t="s">
        <v>12</v>
      </c>
      <c r="E16" s="173" t="s">
        <v>14</v>
      </c>
      <c r="F16" s="171" t="s">
        <v>4</v>
      </c>
      <c r="G16" s="174" t="s">
        <v>5</v>
      </c>
      <c r="H16" s="175"/>
      <c r="I16" s="175"/>
    </row>
    <row r="17" spans="1:9" ht="12" customHeight="1">
      <c r="A17" s="30" t="s">
        <v>0</v>
      </c>
      <c r="B17" s="153">
        <v>76</v>
      </c>
      <c r="C17" s="304">
        <v>949</v>
      </c>
      <c r="D17" s="250">
        <f>IF(C17=0,"",$D$13*B17/C17)</f>
        <v>80.08429926238145</v>
      </c>
      <c r="E17" s="122">
        <f>IF(D18="","",D17/D18)</f>
        <v>1.4858615854879864</v>
      </c>
      <c r="F17" s="155"/>
      <c r="G17" s="157">
        <f>IF(G19="","",EXP(G19))</f>
        <v>1.1152981605630397</v>
      </c>
      <c r="H17" s="46"/>
      <c r="I17" s="46"/>
    </row>
    <row r="18" spans="1:9" ht="12" customHeight="1">
      <c r="A18" s="30">
        <v>0</v>
      </c>
      <c r="B18" s="160">
        <v>121</v>
      </c>
      <c r="C18" s="305">
        <v>2245</v>
      </c>
      <c r="D18" s="251">
        <f>IF(C18=0,"",$D$13*B18/C18)</f>
        <v>53.897550111358576</v>
      </c>
      <c r="E18" s="123"/>
      <c r="F18" s="176"/>
      <c r="G18" s="178">
        <f>IF(G20="","",EXP(G20))</f>
        <v>1.9795465726531007</v>
      </c>
      <c r="H18" s="46"/>
      <c r="I18" s="46"/>
    </row>
    <row r="19" spans="1:9" ht="12" customHeight="1">
      <c r="A19" s="26" t="s">
        <v>54</v>
      </c>
      <c r="B19" s="26">
        <f>SUM(B17:B18)</f>
        <v>197</v>
      </c>
      <c r="C19" s="306">
        <f>SUM(C17:C18)</f>
        <v>3194</v>
      </c>
      <c r="D19" s="251">
        <f>IF(C19=0,"",$D$13*B19/C19)</f>
        <v>61.678146524733876</v>
      </c>
      <c r="E19" s="180">
        <f>IF(E17="","",LN(E17))</f>
        <v>0.39599479625601675</v>
      </c>
      <c r="F19" s="180">
        <f>IF(B19=0,"",SQRT(1/B17+1/B18))</f>
        <v>0.14636378495638688</v>
      </c>
      <c r="G19" s="180">
        <f>IF(E19="","",E19-1.96*F19)</f>
        <v>0.10912177774149845</v>
      </c>
      <c r="H19" s="180">
        <f>IF(F19="","",1/(F19^2))</f>
        <v>46.680203045685275</v>
      </c>
      <c r="I19" s="180">
        <f>IF(E19="","",E19*H19)</f>
        <v>18.485117494265634</v>
      </c>
    </row>
    <row r="20" spans="1:9" ht="12" customHeight="1">
      <c r="A20" s="208"/>
      <c r="B20" s="209"/>
      <c r="C20" s="253"/>
      <c r="D20" s="256"/>
      <c r="E20" s="240"/>
      <c r="F20" s="240"/>
      <c r="G20" s="180">
        <f>IF(E19="","",E19+1.96*F19)</f>
        <v>0.682867814770535</v>
      </c>
      <c r="H20" s="240"/>
      <c r="I20" s="240"/>
    </row>
    <row r="21" spans="1:9" ht="12" customHeight="1">
      <c r="A21" s="489"/>
      <c r="B21" s="490"/>
      <c r="C21" s="490"/>
      <c r="D21" s="491"/>
      <c r="E21" s="24"/>
      <c r="F21" s="24"/>
      <c r="G21" s="24"/>
      <c r="H21" s="24"/>
      <c r="I21" s="24"/>
    </row>
    <row r="22" spans="1:9" ht="12" customHeight="1">
      <c r="A22" s="26" t="s">
        <v>137</v>
      </c>
      <c r="B22" s="26" t="s">
        <v>10</v>
      </c>
      <c r="C22" s="255" t="s">
        <v>11</v>
      </c>
      <c r="D22" s="27" t="s">
        <v>12</v>
      </c>
      <c r="E22" s="173" t="s">
        <v>14</v>
      </c>
      <c r="F22" s="171" t="s">
        <v>4</v>
      </c>
      <c r="G22" s="174" t="s">
        <v>5</v>
      </c>
      <c r="H22" s="175"/>
      <c r="I22" s="175"/>
    </row>
    <row r="23" spans="1:9" ht="12" customHeight="1">
      <c r="A23" s="30" t="s">
        <v>0</v>
      </c>
      <c r="B23" s="153"/>
      <c r="C23" s="304"/>
      <c r="D23" s="250">
        <f>IF(C23=0,"",$D$13*B23/C23)</f>
      </c>
      <c r="E23" s="122">
        <f>IF(D24="","",D23/D24)</f>
      </c>
      <c r="F23" s="155"/>
      <c r="G23" s="157">
        <f>IF(G25="","",EXP(G25))</f>
      </c>
      <c r="H23" s="46"/>
      <c r="I23" s="46"/>
    </row>
    <row r="24" spans="1:9" ht="12" customHeight="1">
      <c r="A24" s="30">
        <v>0</v>
      </c>
      <c r="B24" s="160"/>
      <c r="C24" s="305"/>
      <c r="D24" s="251">
        <f>IF(C24=0,"",$D$13*B24/C24)</f>
      </c>
      <c r="E24" s="123"/>
      <c r="F24" s="176"/>
      <c r="G24" s="178">
        <f>IF(G26="","",EXP(G26))</f>
      </c>
      <c r="H24" s="46"/>
      <c r="I24" s="46"/>
    </row>
    <row r="25" spans="1:9" ht="12" customHeight="1">
      <c r="A25" s="26" t="s">
        <v>54</v>
      </c>
      <c r="B25" s="26">
        <f>SUM(B23:B24)</f>
        <v>0</v>
      </c>
      <c r="C25" s="306">
        <f>SUM(C23:C24)</f>
        <v>0</v>
      </c>
      <c r="D25" s="251">
        <f>IF(C25=0,"",$D$13*B25/C25)</f>
      </c>
      <c r="E25" s="180">
        <f>IF(E23="","",LN(E23))</f>
      </c>
      <c r="F25" s="180">
        <f>IF(B25=0,"",SQRT(1/B23+1/B24))</f>
      </c>
      <c r="G25" s="180">
        <f>IF(E25="","",E25-1.96*F25)</f>
      </c>
      <c r="H25" s="180">
        <f>IF(F25="","",1/(F25^2))</f>
      </c>
      <c r="I25" s="180">
        <f>IF(E25="","",E25*H25)</f>
      </c>
    </row>
    <row r="26" spans="1:9" ht="12" customHeight="1">
      <c r="A26" s="208"/>
      <c r="B26" s="209"/>
      <c r="C26" s="253"/>
      <c r="D26" s="256"/>
      <c r="E26" s="240"/>
      <c r="F26" s="240"/>
      <c r="G26" s="180">
        <f>IF(E25="","",E25+1.96*F25)</f>
      </c>
      <c r="H26" s="240"/>
      <c r="I26" s="240"/>
    </row>
    <row r="27" spans="1:9" ht="12" customHeight="1">
      <c r="A27" s="489"/>
      <c r="B27" s="490"/>
      <c r="C27" s="490"/>
      <c r="D27" s="491"/>
      <c r="E27" s="24"/>
      <c r="F27" s="24"/>
      <c r="G27" s="24"/>
      <c r="H27" s="24"/>
      <c r="I27" s="24"/>
    </row>
    <row r="28" spans="1:9" ht="12" customHeight="1">
      <c r="A28" s="26" t="s">
        <v>137</v>
      </c>
      <c r="B28" s="26" t="s">
        <v>10</v>
      </c>
      <c r="C28" s="255" t="s">
        <v>11</v>
      </c>
      <c r="D28" s="27" t="s">
        <v>12</v>
      </c>
      <c r="E28" s="173" t="s">
        <v>14</v>
      </c>
      <c r="F28" s="171" t="s">
        <v>4</v>
      </c>
      <c r="G28" s="174" t="s">
        <v>5</v>
      </c>
      <c r="H28" s="175"/>
      <c r="I28" s="175"/>
    </row>
    <row r="29" spans="1:9" ht="12" customHeight="1">
      <c r="A29" s="30" t="s">
        <v>0</v>
      </c>
      <c r="B29" s="153"/>
      <c r="C29" s="304"/>
      <c r="D29" s="250">
        <f>IF(C29=0,"",$D$13*B29/C29)</f>
      </c>
      <c r="E29" s="122">
        <f>IF(D30="","",D29/D30)</f>
      </c>
      <c r="F29" s="155"/>
      <c r="G29" s="157">
        <f>IF(G31="","",EXP(G31))</f>
      </c>
      <c r="H29" s="46"/>
      <c r="I29" s="46"/>
    </row>
    <row r="30" spans="1:9" ht="12" customHeight="1">
      <c r="A30" s="30">
        <v>0</v>
      </c>
      <c r="B30" s="160"/>
      <c r="C30" s="305"/>
      <c r="D30" s="251">
        <f>IF(C30=0,"",$D$13*B30/C30)</f>
      </c>
      <c r="E30" s="123"/>
      <c r="F30" s="176"/>
      <c r="G30" s="178">
        <f>IF(G32="","",EXP(G32))</f>
      </c>
      <c r="H30" s="46"/>
      <c r="I30" s="46"/>
    </row>
    <row r="31" spans="1:9" ht="12" customHeight="1">
      <c r="A31" s="26" t="s">
        <v>54</v>
      </c>
      <c r="B31" s="26">
        <f>SUM(B29:B30)</f>
        <v>0</v>
      </c>
      <c r="C31" s="306">
        <f>SUM(C29:C30)</f>
        <v>0</v>
      </c>
      <c r="D31" s="251">
        <f>IF(C31=0,"",$D$13*B31/C31)</f>
      </c>
      <c r="E31" s="180">
        <f>IF(E29="","",LN(E29))</f>
      </c>
      <c r="F31" s="180">
        <f>IF(B31=0,"",SQRT(1/B29+1/B30))</f>
      </c>
      <c r="G31" s="180">
        <f>IF(E31="","",E31-1.96*F31)</f>
      </c>
      <c r="H31" s="180">
        <f>IF(F31="","",1/(F31^2))</f>
      </c>
      <c r="I31" s="180">
        <f>IF(E31="","",E31*H31)</f>
      </c>
    </row>
    <row r="32" spans="1:9" ht="12" customHeight="1">
      <c r="A32" s="208"/>
      <c r="B32" s="209"/>
      <c r="C32" s="253"/>
      <c r="D32" s="256"/>
      <c r="E32" s="240"/>
      <c r="F32" s="240"/>
      <c r="G32" s="180">
        <f>IF(E31="","",E31+1.96*F31)</f>
      </c>
      <c r="H32" s="240"/>
      <c r="I32" s="240"/>
    </row>
    <row r="33" spans="1:9" ht="12" customHeight="1">
      <c r="A33" s="489"/>
      <c r="B33" s="490"/>
      <c r="C33" s="490"/>
      <c r="D33" s="491"/>
      <c r="E33" s="24"/>
      <c r="F33" s="24"/>
      <c r="G33" s="24"/>
      <c r="H33" s="24"/>
      <c r="I33" s="24"/>
    </row>
    <row r="34" spans="1:9" ht="12" customHeight="1">
      <c r="A34" s="26" t="s">
        <v>137</v>
      </c>
      <c r="B34" s="26" t="s">
        <v>10</v>
      </c>
      <c r="C34" s="255" t="s">
        <v>11</v>
      </c>
      <c r="D34" s="59" t="s">
        <v>12</v>
      </c>
      <c r="E34" s="173" t="s">
        <v>14</v>
      </c>
      <c r="F34" s="171" t="s">
        <v>4</v>
      </c>
      <c r="G34" s="174" t="s">
        <v>5</v>
      </c>
      <c r="H34" s="175"/>
      <c r="I34" s="175"/>
    </row>
    <row r="35" spans="1:9" ht="12" customHeight="1">
      <c r="A35" s="30" t="s">
        <v>0</v>
      </c>
      <c r="B35" s="153"/>
      <c r="C35" s="304"/>
      <c r="D35" s="250">
        <f>IF(C35=0,"",$D$13*B35/C35)</f>
      </c>
      <c r="E35" s="122">
        <f>IF(D36="","",D35/D36)</f>
      </c>
      <c r="F35" s="155"/>
      <c r="G35" s="157">
        <f>IF(G37="","",EXP(G37))</f>
      </c>
      <c r="H35" s="46"/>
      <c r="I35" s="46"/>
    </row>
    <row r="36" spans="1:9" ht="12" customHeight="1">
      <c r="A36" s="30">
        <v>0</v>
      </c>
      <c r="B36" s="160"/>
      <c r="C36" s="305"/>
      <c r="D36" s="251">
        <f>IF(C36=0,"",$D$13*B36/C36)</f>
      </c>
      <c r="E36" s="123"/>
      <c r="F36" s="176"/>
      <c r="G36" s="178">
        <f>IF(G38="","",EXP(G38))</f>
      </c>
      <c r="H36" s="46"/>
      <c r="I36" s="46"/>
    </row>
    <row r="37" spans="1:9" ht="12" customHeight="1">
      <c r="A37" s="26" t="s">
        <v>54</v>
      </c>
      <c r="B37" s="26">
        <f>SUM(B35:B36)</f>
        <v>0</v>
      </c>
      <c r="C37" s="306">
        <f>SUM(C35:C36)</f>
        <v>0</v>
      </c>
      <c r="D37" s="251">
        <f>IF(C37=0,"",$D$13*B37/C37)</f>
      </c>
      <c r="E37" s="180">
        <f>IF(E35="","",LN(E35))</f>
      </c>
      <c r="F37" s="180">
        <f>IF(B37=0,"",SQRT(1/B35+1/B36))</f>
      </c>
      <c r="G37" s="180">
        <f>IF(E37="","",E37-1.96*F37)</f>
      </c>
      <c r="H37" s="180">
        <f>IF(F37="","",1/(F37^2))</f>
      </c>
      <c r="I37" s="180">
        <f>IF(E37="","",E37*H37)</f>
      </c>
    </row>
    <row r="38" spans="1:9" ht="12" customHeight="1">
      <c r="A38" s="208"/>
      <c r="B38" s="209"/>
      <c r="C38" s="253"/>
      <c r="D38" s="256"/>
      <c r="E38" s="240"/>
      <c r="F38" s="240"/>
      <c r="G38" s="180">
        <f>IF(E37="","",E37+1.96*F37)</f>
      </c>
      <c r="H38" s="240"/>
      <c r="I38" s="240"/>
    </row>
    <row r="39" spans="1:9" ht="12" customHeight="1">
      <c r="A39" s="489"/>
      <c r="B39" s="490"/>
      <c r="C39" s="490"/>
      <c r="D39" s="491"/>
      <c r="E39" s="24"/>
      <c r="F39" s="24"/>
      <c r="G39" s="24"/>
      <c r="H39" s="24"/>
      <c r="I39" s="24"/>
    </row>
    <row r="40" spans="1:9" ht="12" customHeight="1">
      <c r="A40" s="26" t="s">
        <v>137</v>
      </c>
      <c r="B40" s="26" t="s">
        <v>10</v>
      </c>
      <c r="C40" s="255" t="s">
        <v>11</v>
      </c>
      <c r="D40" s="59" t="s">
        <v>12</v>
      </c>
      <c r="E40" s="173" t="s">
        <v>14</v>
      </c>
      <c r="F40" s="171" t="s">
        <v>4</v>
      </c>
      <c r="G40" s="174" t="s">
        <v>5</v>
      </c>
      <c r="H40" s="175"/>
      <c r="I40" s="175"/>
    </row>
    <row r="41" spans="1:9" ht="12" customHeight="1">
      <c r="A41" s="30" t="s">
        <v>0</v>
      </c>
      <c r="B41" s="153"/>
      <c r="C41" s="304"/>
      <c r="D41" s="250">
        <f>IF(C41=0,"",$D$13*B41/C41)</f>
      </c>
      <c r="E41" s="122">
        <f>IF(D42="","",D41/D42)</f>
      </c>
      <c r="F41" s="155"/>
      <c r="G41" s="157">
        <f>IF(G43="","",EXP(G43))</f>
      </c>
      <c r="H41" s="46"/>
      <c r="I41" s="46"/>
    </row>
    <row r="42" spans="1:9" ht="12" customHeight="1">
      <c r="A42" s="30">
        <v>0</v>
      </c>
      <c r="B42" s="160"/>
      <c r="C42" s="305"/>
      <c r="D42" s="251">
        <f>IF(C42=0,"",$D$13*B42/C42)</f>
      </c>
      <c r="E42" s="123"/>
      <c r="F42" s="176"/>
      <c r="G42" s="178">
        <f>IF(G44="","",EXP(G44))</f>
      </c>
      <c r="H42" s="46"/>
      <c r="I42" s="46"/>
    </row>
    <row r="43" spans="1:9" ht="12" customHeight="1">
      <c r="A43" s="26" t="s">
        <v>54</v>
      </c>
      <c r="B43" s="26">
        <f>SUM(B41:B42)</f>
        <v>0</v>
      </c>
      <c r="C43" s="306">
        <f>SUM(C41:C42)</f>
        <v>0</v>
      </c>
      <c r="D43" s="251">
        <f>IF(C43=0,"",$D$13*B43/C43)</f>
      </c>
      <c r="E43" s="180">
        <f>IF(E41="","",LN(E41))</f>
      </c>
      <c r="F43" s="180">
        <f>IF(B43=0,"",SQRT(1/B41+1/B42))</f>
      </c>
      <c r="G43" s="180">
        <f>IF(E43="","",E43-1.96*F43)</f>
      </c>
      <c r="H43" s="180">
        <f>IF(F43="","",1/(F43^2))</f>
      </c>
      <c r="I43" s="180">
        <f>IF(E43="","",E43*H43)</f>
      </c>
    </row>
    <row r="44" spans="1:9" ht="12" customHeight="1">
      <c r="A44" s="208"/>
      <c r="B44" s="209"/>
      <c r="C44" s="253"/>
      <c r="D44" s="256"/>
      <c r="E44" s="240"/>
      <c r="F44" s="240"/>
      <c r="G44" s="180">
        <f>IF(E43="","",E43+1.96*F43)</f>
      </c>
      <c r="H44" s="240"/>
      <c r="I44" s="240"/>
    </row>
    <row r="45" spans="1:9" ht="12" customHeight="1">
      <c r="A45" s="208"/>
      <c r="B45" s="209"/>
      <c r="C45" s="257"/>
      <c r="D45" s="24"/>
      <c r="E45" s="24"/>
      <c r="F45" s="24"/>
      <c r="G45" s="24"/>
      <c r="H45" s="24"/>
      <c r="I45" s="24"/>
    </row>
    <row r="46" spans="1:9" ht="12" customHeight="1">
      <c r="A46" s="208"/>
      <c r="B46" s="209"/>
      <c r="C46" s="254"/>
      <c r="D46" s="24"/>
      <c r="E46" s="210" t="s">
        <v>26</v>
      </c>
      <c r="F46" s="175"/>
      <c r="G46" s="211"/>
      <c r="H46" s="24"/>
      <c r="I46" s="24"/>
    </row>
    <row r="47" spans="1:9" ht="12" customHeight="1">
      <c r="A47" s="210"/>
      <c r="B47" s="213"/>
      <c r="C47" s="258"/>
      <c r="D47" s="40"/>
      <c r="E47" s="242" t="s">
        <v>14</v>
      </c>
      <c r="F47" s="243" t="s">
        <v>4</v>
      </c>
      <c r="G47" s="244" t="s">
        <v>5</v>
      </c>
      <c r="H47" s="245" t="s">
        <v>22</v>
      </c>
      <c r="I47" s="217">
        <f>E50/F50</f>
        <v>2.9143961136522583</v>
      </c>
    </row>
    <row r="48" spans="1:10" ht="12" customHeight="1">
      <c r="A48" s="24"/>
      <c r="B48" s="24"/>
      <c r="C48" s="258"/>
      <c r="D48" s="40"/>
      <c r="E48" s="246">
        <f>EXP(E50)</f>
        <v>1.495070006599461</v>
      </c>
      <c r="F48" s="247"/>
      <c r="G48" s="248">
        <f>EXP(G50)</f>
        <v>1.1407685477177458</v>
      </c>
      <c r="H48" s="94" t="s">
        <v>129</v>
      </c>
      <c r="I48" s="259">
        <f>2*(1-NORMSDIST(ABS(I47)))</f>
        <v>0.0035637739882847796</v>
      </c>
      <c r="J48">
        <f>SUMIF(I12:I43,"&gt;0")</f>
        <v>21.119528194018386</v>
      </c>
    </row>
    <row r="49" spans="1:10" ht="12" customHeight="1">
      <c r="A49" s="24"/>
      <c r="B49" s="24"/>
      <c r="C49" s="260"/>
      <c r="D49" s="40"/>
      <c r="E49" s="123"/>
      <c r="F49" s="176"/>
      <c r="G49" s="218">
        <f>EXP(G51)</f>
        <v>1.9594108981223106</v>
      </c>
      <c r="H49" s="24"/>
      <c r="I49" s="24"/>
      <c r="J49">
        <f>SUMIF(I12:I43,"&lt;0")</f>
        <v>0</v>
      </c>
    </row>
    <row r="50" spans="1:9" ht="12" customHeight="1">
      <c r="A50" s="24"/>
      <c r="B50" s="24"/>
      <c r="C50" s="253"/>
      <c r="D50" s="94"/>
      <c r="E50" s="180">
        <f>I50/H50</f>
        <v>0.4021730329031228</v>
      </c>
      <c r="F50" s="180">
        <f>SQRT(1/H50)</f>
        <v>0.13799532294844033</v>
      </c>
      <c r="G50" s="180">
        <f>E50-1.96*F50</f>
        <v>0.13170219992417975</v>
      </c>
      <c r="H50" s="180">
        <f>SUMIF(H12:H49,"&gt;0")</f>
        <v>52.51353637901861</v>
      </c>
      <c r="I50" s="180">
        <f>SUM(J48:J49)</f>
        <v>21.119528194018386</v>
      </c>
    </row>
    <row r="51" spans="1:9" ht="12" customHeight="1">
      <c r="A51" s="24"/>
      <c r="B51" s="24"/>
      <c r="C51" s="261"/>
      <c r="D51" s="24"/>
      <c r="E51" s="180"/>
      <c r="F51" s="180"/>
      <c r="G51" s="180">
        <f>E50+1.96*F50</f>
        <v>0.6726438658820658</v>
      </c>
      <c r="H51" s="180"/>
      <c r="I51" s="180"/>
    </row>
    <row r="52" spans="1:9" ht="12" customHeight="1">
      <c r="A52" s="25" t="s">
        <v>54</v>
      </c>
      <c r="B52" s="24"/>
      <c r="C52" s="261"/>
      <c r="D52" s="24"/>
      <c r="E52" s="25" t="s">
        <v>56</v>
      </c>
      <c r="F52" s="24"/>
      <c r="G52" s="24"/>
      <c r="H52" s="24"/>
      <c r="I52" s="24"/>
    </row>
    <row r="53" spans="1:9" ht="12" customHeight="1">
      <c r="A53" s="26" t="s">
        <v>137</v>
      </c>
      <c r="B53" s="26" t="s">
        <v>10</v>
      </c>
      <c r="C53" s="255" t="s">
        <v>11</v>
      </c>
      <c r="D53" s="27" t="s">
        <v>12</v>
      </c>
      <c r="E53" s="173" t="s">
        <v>14</v>
      </c>
      <c r="F53" s="171" t="s">
        <v>4</v>
      </c>
      <c r="G53" s="174" t="s">
        <v>5</v>
      </c>
      <c r="H53" s="245" t="s">
        <v>22</v>
      </c>
      <c r="I53" s="217">
        <f>E56/F56</f>
        <v>0.6947780084893316</v>
      </c>
    </row>
    <row r="54" spans="1:9" ht="12" customHeight="1">
      <c r="A54" s="30" t="s">
        <v>0</v>
      </c>
      <c r="B54" s="220">
        <f>B10+B17+B23+B29+B35+B41</f>
        <v>90</v>
      </c>
      <c r="C54" s="424">
        <f>C10+C17+C23+C29+C35+C41</f>
        <v>2465</v>
      </c>
      <c r="D54" s="192">
        <f>$D$13*B54/C54</f>
        <v>36.511156186612574</v>
      </c>
      <c r="E54" s="222">
        <f>D54/D55</f>
        <v>1.0997940634532306</v>
      </c>
      <c r="F54" s="155"/>
      <c r="G54" s="216">
        <f>EXP(G56)</f>
        <v>0.8409499243584923</v>
      </c>
      <c r="H54" s="94" t="s">
        <v>129</v>
      </c>
      <c r="I54" s="259">
        <f>2*(1-NORMSDIST(ABS(I53)))</f>
        <v>0.48719443207101865</v>
      </c>
    </row>
    <row r="55" spans="1:9" ht="12" customHeight="1">
      <c r="A55" s="30">
        <v>0</v>
      </c>
      <c r="B55" s="223">
        <f>B11+B18+B24+B30+B36+B42</f>
        <v>131</v>
      </c>
      <c r="C55" s="425">
        <f>C11+C18+C24+C30+C36+C42</f>
        <v>3946</v>
      </c>
      <c r="D55" s="192">
        <f>$D$13*B55/C55</f>
        <v>33.19817536746072</v>
      </c>
      <c r="E55" s="123"/>
      <c r="F55" s="176"/>
      <c r="G55" s="218">
        <f>EXP(G57)</f>
        <v>1.4383103523431027</v>
      </c>
      <c r="H55" s="24"/>
      <c r="I55" s="24"/>
    </row>
    <row r="56" spans="1:9" ht="12" customHeight="1">
      <c r="A56" s="26" t="s">
        <v>54</v>
      </c>
      <c r="B56" s="26">
        <f>SUM(B54:B55)</f>
        <v>221</v>
      </c>
      <c r="C56" s="252">
        <f>SUM(C54:C55)</f>
        <v>6411</v>
      </c>
      <c r="D56" s="199">
        <f>$D$13*B56/C56</f>
        <v>34.472001247855246</v>
      </c>
      <c r="E56" s="180">
        <f>LN(E54)</f>
        <v>0.09512294723488358</v>
      </c>
      <c r="F56" s="180">
        <f>SQRT(1/B54+1/B55)</f>
        <v>0.136911281117995</v>
      </c>
      <c r="G56" s="180">
        <f>E56-1.96*F56</f>
        <v>-0.17322316375638663</v>
      </c>
      <c r="H56" s="24"/>
      <c r="I56" s="24"/>
    </row>
    <row r="57" spans="1:9" ht="12" customHeight="1">
      <c r="A57" s="208"/>
      <c r="B57" s="209"/>
      <c r="C57" s="262" t="s">
        <v>69</v>
      </c>
      <c r="D57" s="263">
        <f>D13</f>
        <v>1000</v>
      </c>
      <c r="E57" s="240"/>
      <c r="F57" s="240"/>
      <c r="G57" s="180">
        <f>E56+1.96*F56</f>
        <v>0.3634690582261538</v>
      </c>
      <c r="H57" s="24"/>
      <c r="I57" s="24"/>
    </row>
    <row r="58" ht="12.75">
      <c r="C58" s="4"/>
    </row>
  </sheetData>
  <sheetProtection sheet="1" objects="1" scenarios="1"/>
  <mergeCells count="10">
    <mergeCell ref="A33:D33"/>
    <mergeCell ref="A39:D39"/>
    <mergeCell ref="A8:D8"/>
    <mergeCell ref="A15:D15"/>
    <mergeCell ref="A21:D21"/>
    <mergeCell ref="A27:D27"/>
    <mergeCell ref="C1:F1"/>
    <mergeCell ref="A5:G5"/>
    <mergeCell ref="A6:G6"/>
    <mergeCell ref="I1:I2"/>
  </mergeCells>
  <hyperlinks>
    <hyperlink ref="I1:I2" location="Start!A1" display="Start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/>
  <dimension ref="A1:T58"/>
  <sheetViews>
    <sheetView workbookViewId="0" topLeftCell="A25">
      <selection activeCell="A46" sqref="A46"/>
    </sheetView>
  </sheetViews>
  <sheetFormatPr defaultColWidth="9.140625" defaultRowHeight="12.75"/>
  <cols>
    <col min="1" max="5" width="8.7109375" style="0" customWidth="1"/>
    <col min="6" max="6" width="8.7109375" style="9" customWidth="1"/>
    <col min="7" max="9" width="8.7109375" style="0" customWidth="1"/>
    <col min="10" max="20" width="9.140625" style="0" hidden="1" customWidth="1"/>
  </cols>
  <sheetData>
    <row r="1" spans="1:9" ht="12" customHeight="1">
      <c r="A1" s="7" t="s">
        <v>184</v>
      </c>
      <c r="B1" s="7"/>
      <c r="C1" s="403" t="s">
        <v>185</v>
      </c>
      <c r="D1" s="403"/>
      <c r="E1" s="403"/>
      <c r="F1" s="403"/>
      <c r="G1" s="403"/>
      <c r="I1" s="470" t="s">
        <v>218</v>
      </c>
    </row>
    <row r="2" spans="1:9" ht="12" customHeight="1">
      <c r="A2" s="7"/>
      <c r="B2" s="7"/>
      <c r="C2" s="7"/>
      <c r="D2" s="7"/>
      <c r="E2" s="7"/>
      <c r="F2" s="7"/>
      <c r="G2" s="7"/>
      <c r="I2" s="471"/>
    </row>
    <row r="3" spans="1:2" ht="12" customHeight="1">
      <c r="A3" s="7"/>
      <c r="B3" s="7"/>
    </row>
    <row r="4" spans="1:9" ht="12" customHeight="1">
      <c r="A4" s="7"/>
      <c r="B4" s="7"/>
      <c r="H4" s="15"/>
      <c r="I4" s="15"/>
    </row>
    <row r="5" spans="1:9" ht="12" customHeight="1">
      <c r="A5" s="429" t="s">
        <v>150</v>
      </c>
      <c r="B5" s="430"/>
      <c r="C5" s="430"/>
      <c r="D5" s="430"/>
      <c r="E5" s="430"/>
      <c r="F5" s="430"/>
      <c r="G5" s="430"/>
      <c r="H5" s="430"/>
      <c r="I5" s="431"/>
    </row>
    <row r="6" spans="1:9" ht="12" customHeight="1">
      <c r="A6" s="406" t="s">
        <v>151</v>
      </c>
      <c r="B6" s="407"/>
      <c r="C6" s="407"/>
      <c r="D6" s="407"/>
      <c r="E6" s="407"/>
      <c r="F6" s="407"/>
      <c r="G6" s="407"/>
      <c r="H6" s="407"/>
      <c r="I6" s="408"/>
    </row>
    <row r="7" spans="1:9" ht="12" customHeight="1">
      <c r="A7" s="25"/>
      <c r="B7" s="25"/>
      <c r="C7" s="24"/>
      <c r="D7" s="24"/>
      <c r="E7" s="24"/>
      <c r="F7" s="24"/>
      <c r="G7" s="24"/>
      <c r="H7" s="225"/>
      <c r="I7" s="225"/>
    </row>
    <row r="8" spans="1:9" ht="12" customHeight="1">
      <c r="A8" s="489" t="s">
        <v>153</v>
      </c>
      <c r="B8" s="490"/>
      <c r="C8" s="490"/>
      <c r="D8" s="491"/>
      <c r="E8" s="24"/>
      <c r="F8" s="24"/>
      <c r="G8" s="24"/>
      <c r="H8" s="24"/>
      <c r="I8" s="24"/>
    </row>
    <row r="9" spans="1:19" ht="12" customHeight="1">
      <c r="A9" s="26" t="s">
        <v>137</v>
      </c>
      <c r="B9" s="26" t="s">
        <v>1</v>
      </c>
      <c r="C9" s="28" t="s">
        <v>130</v>
      </c>
      <c r="D9" s="27" t="s">
        <v>54</v>
      </c>
      <c r="E9" s="49" t="s">
        <v>57</v>
      </c>
      <c r="F9" s="175" t="s">
        <v>58</v>
      </c>
      <c r="G9" s="229" t="s">
        <v>3</v>
      </c>
      <c r="H9" s="230" t="s">
        <v>4</v>
      </c>
      <c r="I9" s="231" t="s">
        <v>18</v>
      </c>
      <c r="J9" s="2" t="s">
        <v>29</v>
      </c>
      <c r="K9" s="5" t="s">
        <v>30</v>
      </c>
      <c r="L9" s="5" t="s">
        <v>31</v>
      </c>
      <c r="M9" s="5" t="s">
        <v>32</v>
      </c>
      <c r="N9" s="5" t="s">
        <v>36</v>
      </c>
      <c r="O9" s="5" t="s">
        <v>55</v>
      </c>
      <c r="P9" s="5" t="s">
        <v>52</v>
      </c>
      <c r="Q9" s="5" t="s">
        <v>60</v>
      </c>
      <c r="R9" s="5" t="s">
        <v>59</v>
      </c>
      <c r="S9" s="5" t="s">
        <v>61</v>
      </c>
    </row>
    <row r="10" spans="1:19" ht="12" customHeight="1">
      <c r="A10" s="30" t="s">
        <v>0</v>
      </c>
      <c r="B10" s="153">
        <v>3</v>
      </c>
      <c r="C10" s="154">
        <v>104</v>
      </c>
      <c r="D10" s="50">
        <f>SUM(B10:C10)</f>
        <v>107</v>
      </c>
      <c r="E10" s="226">
        <f>IF(D12&gt;0,B10*C11/D12,"")</f>
        <v>2.7038297872340427</v>
      </c>
      <c r="F10" s="227">
        <f>IF(D12&gt;0,C10*B11/D12,"")</f>
        <v>0.796595744680851</v>
      </c>
      <c r="G10" s="232">
        <f>IF(F10="","",E10/F10)</f>
        <v>3.3942307692307696</v>
      </c>
      <c r="H10" s="233"/>
      <c r="I10" s="234">
        <f>IF(I12="","",EXP(I12))</f>
        <v>0.904818323005321</v>
      </c>
      <c r="J10" s="1">
        <f>(B10+C11)/D12</f>
        <v>0.9038297872340425</v>
      </c>
      <c r="K10" s="1">
        <f>(B11+C10)/D12</f>
        <v>0.09617021276595744</v>
      </c>
      <c r="L10">
        <f>E10*J10</f>
        <v>2.443801901312811</v>
      </c>
      <c r="M10">
        <f>F10*K10</f>
        <v>0.07660878225441375</v>
      </c>
      <c r="N10">
        <f>E10*K10+F10*J10</f>
        <v>0.9800148483476685</v>
      </c>
      <c r="O10" s="17">
        <f>((G12-$G$48)/H12)^2</f>
        <v>0.025614490453722896</v>
      </c>
      <c r="P10" s="18">
        <f>IF(D12&gt;0,1,0)</f>
        <v>1</v>
      </c>
      <c r="Q10" s="6">
        <f>D10*B12/D12</f>
        <v>1.0927659574468085</v>
      </c>
      <c r="R10" s="6">
        <f>B10-Q10</f>
        <v>1.9072340425531915</v>
      </c>
      <c r="S10" s="6">
        <f>B12*C12*D10*D11/D12^2/(D12-1)</f>
        <v>0.9839480310916393</v>
      </c>
    </row>
    <row r="11" spans="1:18" ht="12" customHeight="1">
      <c r="A11" s="30">
        <v>0</v>
      </c>
      <c r="B11" s="160">
        <v>9</v>
      </c>
      <c r="C11" s="161">
        <v>1059</v>
      </c>
      <c r="D11" s="50">
        <f>SUM(B11:C11)</f>
        <v>1068</v>
      </c>
      <c r="E11" s="49"/>
      <c r="F11" s="140"/>
      <c r="G11" s="235"/>
      <c r="H11" s="236"/>
      <c r="I11" s="237">
        <f>IF(I13="","",EXP(I13))</f>
        <v>12.732724594399219</v>
      </c>
      <c r="J11" s="1"/>
      <c r="K11" s="1"/>
      <c r="R11" s="16"/>
    </row>
    <row r="12" spans="1:11" ht="12" customHeight="1">
      <c r="A12" s="26" t="s">
        <v>54</v>
      </c>
      <c r="B12" s="26">
        <f>SUM(B10:B11)</f>
        <v>12</v>
      </c>
      <c r="C12" s="28">
        <f>SUM(C10:C11)</f>
        <v>1163</v>
      </c>
      <c r="D12" s="27">
        <f>SUM(B12:C12)</f>
        <v>1175</v>
      </c>
      <c r="E12" s="49"/>
      <c r="F12" s="180"/>
      <c r="G12" s="238">
        <f>IF(G10="","",LN(G10))</f>
        <v>1.2220771577919243</v>
      </c>
      <c r="H12" s="238">
        <f>IF(D12=0,"",SQRT(1/B10+1/B11+1/C10+1/C11))</f>
        <v>0.6745399292281342</v>
      </c>
      <c r="I12" s="238">
        <f>IF(G12="","",G12-1.96*H12)</f>
        <v>-0.10002110349521875</v>
      </c>
      <c r="J12" s="8"/>
      <c r="K12" s="8"/>
    </row>
    <row r="13" spans="1:11" ht="12" customHeight="1">
      <c r="A13" s="208"/>
      <c r="B13" s="209"/>
      <c r="C13" s="209"/>
      <c r="D13" s="46"/>
      <c r="E13" s="46"/>
      <c r="F13" s="180"/>
      <c r="G13" s="238"/>
      <c r="H13" s="238"/>
      <c r="I13" s="238">
        <f>IF(G12="","",G12+1.96*H12)</f>
        <v>2.5441754190790675</v>
      </c>
      <c r="J13" s="8"/>
      <c r="K13" s="8"/>
    </row>
    <row r="14" spans="1:11" ht="12" customHeight="1">
      <c r="A14" s="489" t="s">
        <v>152</v>
      </c>
      <c r="B14" s="490"/>
      <c r="C14" s="490"/>
      <c r="D14" s="491"/>
      <c r="E14" s="46"/>
      <c r="F14" s="46"/>
      <c r="G14" s="239"/>
      <c r="H14" s="239"/>
      <c r="I14" s="239"/>
      <c r="J14" s="1"/>
      <c r="K14" s="1"/>
    </row>
    <row r="15" spans="1:11" ht="12" customHeight="1">
      <c r="A15" s="26" t="s">
        <v>137</v>
      </c>
      <c r="B15" s="26" t="s">
        <v>1</v>
      </c>
      <c r="C15" s="28" t="s">
        <v>130</v>
      </c>
      <c r="D15" s="27" t="s">
        <v>54</v>
      </c>
      <c r="E15" s="49" t="s">
        <v>57</v>
      </c>
      <c r="F15" s="175" t="s">
        <v>58</v>
      </c>
      <c r="G15" s="229" t="s">
        <v>3</v>
      </c>
      <c r="H15" s="230" t="s">
        <v>4</v>
      </c>
      <c r="I15" s="231" t="s">
        <v>18</v>
      </c>
      <c r="J15" s="2"/>
      <c r="K15" s="5"/>
    </row>
    <row r="16" spans="1:19" ht="12" customHeight="1">
      <c r="A16" s="30" t="s">
        <v>0</v>
      </c>
      <c r="B16" s="153">
        <v>1</v>
      </c>
      <c r="C16" s="154">
        <v>5</v>
      </c>
      <c r="D16" s="50">
        <f>SUM(B16:C16)</f>
        <v>6</v>
      </c>
      <c r="E16" s="226">
        <f>IF(D18&gt;0,B16*C17/D18,"")</f>
        <v>0.9052631578947369</v>
      </c>
      <c r="F16" s="227">
        <f>IF(D18&gt;0,C16*B17/D18,"")</f>
        <v>0.15789473684210525</v>
      </c>
      <c r="G16" s="232">
        <f>IF(F16="","",E16/F16)</f>
        <v>5.733333333333334</v>
      </c>
      <c r="H16" s="233"/>
      <c r="I16" s="234">
        <f>IF(I18="","",EXP(I18))</f>
        <v>0.5016193505282962</v>
      </c>
      <c r="J16" s="1">
        <f>(B16+C17)/D18</f>
        <v>0.9157894736842105</v>
      </c>
      <c r="K16" s="1">
        <f>(B17+C16)/D18</f>
        <v>0.08421052631578947</v>
      </c>
      <c r="L16">
        <f>E16*J16</f>
        <v>0.8290304709141274</v>
      </c>
      <c r="M16">
        <f>F16*K16</f>
        <v>0.013296398891966758</v>
      </c>
      <c r="N16">
        <f>E16*K16+F16*J16</f>
        <v>0.2208310249307479</v>
      </c>
      <c r="O16" s="17">
        <f>((G18-$G$48)/H18)^2</f>
        <v>0.11215484721465112</v>
      </c>
      <c r="P16" s="18">
        <f>IF(D18&gt;0,1,0)</f>
        <v>1</v>
      </c>
      <c r="Q16" s="6">
        <f>D16*B18/D18</f>
        <v>0.25263157894736843</v>
      </c>
      <c r="R16" s="6">
        <f>B16-Q16</f>
        <v>0.7473684210526316</v>
      </c>
      <c r="S16" s="6">
        <f>B18*C18*D16*D17/D18^2/(D18-1)</f>
        <v>0.22912241409795486</v>
      </c>
    </row>
    <row r="17" spans="1:11" ht="12" customHeight="1">
      <c r="A17" s="30">
        <v>0</v>
      </c>
      <c r="B17" s="160">
        <v>3</v>
      </c>
      <c r="C17" s="161">
        <v>86</v>
      </c>
      <c r="D17" s="50">
        <f>SUM(B17:C17)</f>
        <v>89</v>
      </c>
      <c r="E17" s="49"/>
      <c r="F17" s="140"/>
      <c r="G17" s="235"/>
      <c r="H17" s="236"/>
      <c r="I17" s="237">
        <f>IF(I19="","",EXP(I19))</f>
        <v>65.52999017380785</v>
      </c>
      <c r="J17" s="1"/>
      <c r="K17" s="1"/>
    </row>
    <row r="18" spans="1:11" ht="12" customHeight="1">
      <c r="A18" s="26" t="s">
        <v>54</v>
      </c>
      <c r="B18" s="26">
        <f>SUM(B16:B17)</f>
        <v>4</v>
      </c>
      <c r="C18" s="28">
        <f>SUM(C16:C17)</f>
        <v>91</v>
      </c>
      <c r="D18" s="27">
        <f>SUM(B18:C18)</f>
        <v>95</v>
      </c>
      <c r="E18" s="49"/>
      <c r="F18" s="180"/>
      <c r="G18" s="238">
        <f>IF(G16="","",LN(G16))</f>
        <v>1.746297095151298</v>
      </c>
      <c r="H18" s="238">
        <f>IF(D18=0,"",SQRT(1/B16+1/B17+1/C16+1/C17))</f>
        <v>1.2429646979339668</v>
      </c>
      <c r="I18" s="238">
        <f>IF(G18="","",G18-1.96*H18)</f>
        <v>-0.6899137127992769</v>
      </c>
      <c r="J18" s="8"/>
      <c r="K18" s="8"/>
    </row>
    <row r="19" spans="1:11" ht="12" customHeight="1">
      <c r="A19" s="208"/>
      <c r="B19" s="209"/>
      <c r="C19" s="209"/>
      <c r="D19" s="46"/>
      <c r="E19" s="46"/>
      <c r="F19" s="180"/>
      <c r="G19" s="238"/>
      <c r="H19" s="238"/>
      <c r="I19" s="238">
        <f>IF(G18="","",G18+1.96*H18)</f>
        <v>4.182507903101873</v>
      </c>
      <c r="J19" s="8"/>
      <c r="K19" s="8"/>
    </row>
    <row r="20" spans="1:11" ht="12" customHeight="1">
      <c r="A20" s="489"/>
      <c r="B20" s="490"/>
      <c r="C20" s="490"/>
      <c r="D20" s="491"/>
      <c r="E20" s="46"/>
      <c r="F20" s="46"/>
      <c r="G20" s="239"/>
      <c r="H20" s="239"/>
      <c r="I20" s="239"/>
      <c r="J20" s="1"/>
      <c r="K20" s="1"/>
    </row>
    <row r="21" spans="1:11" ht="12" customHeight="1">
      <c r="A21" s="26" t="s">
        <v>137</v>
      </c>
      <c r="B21" s="26" t="s">
        <v>1</v>
      </c>
      <c r="C21" s="28" t="s">
        <v>130</v>
      </c>
      <c r="D21" s="27" t="s">
        <v>54</v>
      </c>
      <c r="E21" s="49" t="s">
        <v>57</v>
      </c>
      <c r="F21" s="175" t="s">
        <v>58</v>
      </c>
      <c r="G21" s="229" t="s">
        <v>3</v>
      </c>
      <c r="H21" s="230" t="s">
        <v>4</v>
      </c>
      <c r="I21" s="231" t="s">
        <v>18</v>
      </c>
      <c r="J21" s="2"/>
      <c r="K21" s="5"/>
    </row>
    <row r="22" spans="1:19" ht="12" customHeight="1">
      <c r="A22" s="30" t="s">
        <v>0</v>
      </c>
      <c r="B22" s="153"/>
      <c r="C22" s="154"/>
      <c r="D22" s="50">
        <f>SUM(B22:C22)</f>
        <v>0</v>
      </c>
      <c r="E22" s="226">
        <f>IF(D24&gt;0,B22*C23/D24,"")</f>
      </c>
      <c r="F22" s="227">
        <f>IF(D24&gt;0,C22*B23/D24,"")</f>
      </c>
      <c r="G22" s="232">
        <f>IF(F22="","",E22/F22)</f>
      </c>
      <c r="H22" s="233"/>
      <c r="I22" s="234">
        <f>IF(I24="","",EXP(I24))</f>
      </c>
      <c r="J22" s="1" t="e">
        <f>(B22+C23)/D24</f>
        <v>#DIV/0!</v>
      </c>
      <c r="K22" s="1" t="e">
        <f>(B23+C22)/D24</f>
        <v>#DIV/0!</v>
      </c>
      <c r="L22" t="e">
        <f>E22*J22</f>
        <v>#VALUE!</v>
      </c>
      <c r="M22" t="e">
        <f>F22*K22</f>
        <v>#VALUE!</v>
      </c>
      <c r="N22" t="e">
        <f>E22*K22+F22*J22</f>
        <v>#VALUE!</v>
      </c>
      <c r="O22" s="17" t="e">
        <f>((G24-$G$48)/H24)^2</f>
        <v>#VALUE!</v>
      </c>
      <c r="P22" s="18">
        <f>IF(D24&gt;0,1,0)</f>
        <v>0</v>
      </c>
      <c r="Q22" s="6" t="e">
        <f>D22*B24/D24</f>
        <v>#DIV/0!</v>
      </c>
      <c r="R22" s="6" t="e">
        <f>B22-Q22</f>
        <v>#DIV/0!</v>
      </c>
      <c r="S22" s="6" t="e">
        <f>B24*C24*D22*D23/D24^2/(D24-1)</f>
        <v>#DIV/0!</v>
      </c>
    </row>
    <row r="23" spans="1:11" ht="12" customHeight="1">
      <c r="A23" s="30">
        <v>0</v>
      </c>
      <c r="B23" s="160"/>
      <c r="C23" s="161"/>
      <c r="D23" s="50">
        <f>SUM(B23:C23)</f>
        <v>0</v>
      </c>
      <c r="E23" s="49"/>
      <c r="F23" s="140"/>
      <c r="G23" s="235"/>
      <c r="H23" s="236"/>
      <c r="I23" s="237">
        <f>IF(I25="","",EXP(I25))</f>
      </c>
      <c r="J23" s="1"/>
      <c r="K23" s="1"/>
    </row>
    <row r="24" spans="1:11" ht="12" customHeight="1">
      <c r="A24" s="26" t="s">
        <v>54</v>
      </c>
      <c r="B24" s="26">
        <f>SUM(B22:B23)</f>
        <v>0</v>
      </c>
      <c r="C24" s="28">
        <f>SUM(C22:C23)</f>
        <v>0</v>
      </c>
      <c r="D24" s="27">
        <f>SUM(B24:C24)</f>
        <v>0</v>
      </c>
      <c r="E24" s="49"/>
      <c r="F24" s="180"/>
      <c r="G24" s="238">
        <f>IF(G22="","",LN(G22))</f>
      </c>
      <c r="H24" s="238">
        <f>IF(D24=0,"",SQRT(1/B22+1/B23+1/C22+1/C23))</f>
      </c>
      <c r="I24" s="238">
        <f>IF(G24="","",G24-1.96*H24)</f>
      </c>
      <c r="J24" s="8"/>
      <c r="K24" s="8"/>
    </row>
    <row r="25" spans="1:11" ht="12" customHeight="1">
      <c r="A25" s="208"/>
      <c r="B25" s="209"/>
      <c r="C25" s="209"/>
      <c r="D25" s="46"/>
      <c r="E25" s="46"/>
      <c r="F25" s="180"/>
      <c r="G25" s="238"/>
      <c r="H25" s="238"/>
      <c r="I25" s="238">
        <f>IF(G24="","",G24+1.96*H24)</f>
      </c>
      <c r="J25" s="8"/>
      <c r="K25" s="8"/>
    </row>
    <row r="26" spans="1:11" ht="12" customHeight="1">
      <c r="A26" s="489"/>
      <c r="B26" s="490"/>
      <c r="C26" s="490"/>
      <c r="D26" s="491"/>
      <c r="E26" s="46"/>
      <c r="F26" s="46"/>
      <c r="G26" s="239"/>
      <c r="H26" s="239"/>
      <c r="I26" s="239"/>
      <c r="J26" s="1"/>
      <c r="K26" s="1"/>
    </row>
    <row r="27" spans="1:11" ht="12" customHeight="1">
      <c r="A27" s="26" t="s">
        <v>137</v>
      </c>
      <c r="B27" s="26" t="s">
        <v>1</v>
      </c>
      <c r="C27" s="28" t="s">
        <v>130</v>
      </c>
      <c r="D27" s="27" t="s">
        <v>54</v>
      </c>
      <c r="E27" s="49" t="s">
        <v>57</v>
      </c>
      <c r="F27" s="175" t="s">
        <v>58</v>
      </c>
      <c r="G27" s="229" t="s">
        <v>3</v>
      </c>
      <c r="H27" s="230" t="s">
        <v>4</v>
      </c>
      <c r="I27" s="231" t="s">
        <v>18</v>
      </c>
      <c r="J27" s="2"/>
      <c r="K27" s="5"/>
    </row>
    <row r="28" spans="1:19" ht="12" customHeight="1">
      <c r="A28" s="30" t="s">
        <v>0</v>
      </c>
      <c r="B28" s="153"/>
      <c r="C28" s="154"/>
      <c r="D28" s="50">
        <f>SUM(B28:C28)</f>
        <v>0</v>
      </c>
      <c r="E28" s="226">
        <f>IF(D30&gt;0,B28*C29/D30,"")</f>
      </c>
      <c r="F28" s="227">
        <f>IF(D30&gt;0,C28*B29/D30,"")</f>
      </c>
      <c r="G28" s="232">
        <f>IF(F28="","",E28/F28)</f>
      </c>
      <c r="H28" s="233"/>
      <c r="I28" s="234">
        <f>IF(I30="","",EXP(I30))</f>
      </c>
      <c r="J28" s="1" t="e">
        <f>(B28+C29)/D30</f>
        <v>#DIV/0!</v>
      </c>
      <c r="K28" s="1" t="e">
        <f>(B29+C28)/D30</f>
        <v>#DIV/0!</v>
      </c>
      <c r="L28" t="e">
        <f>E28*J28</f>
        <v>#VALUE!</v>
      </c>
      <c r="M28" t="e">
        <f>F28*K28</f>
        <v>#VALUE!</v>
      </c>
      <c r="N28" t="e">
        <f>E28*K28+F28*J28</f>
        <v>#VALUE!</v>
      </c>
      <c r="O28" s="17" t="e">
        <f>((G30-$G$48)/H30)^2</f>
        <v>#VALUE!</v>
      </c>
      <c r="P28" s="18">
        <f>IF(D30&gt;0,1,0)</f>
        <v>0</v>
      </c>
      <c r="Q28" s="6" t="e">
        <f>D28*B30/D30</f>
        <v>#DIV/0!</v>
      </c>
      <c r="R28" s="6" t="e">
        <f>B28-Q28</f>
        <v>#DIV/0!</v>
      </c>
      <c r="S28" s="6" t="e">
        <f>B30*C30*D28*D29/D30^2/(D30-1)</f>
        <v>#DIV/0!</v>
      </c>
    </row>
    <row r="29" spans="1:11" ht="12" customHeight="1">
      <c r="A29" s="30">
        <v>0</v>
      </c>
      <c r="B29" s="160"/>
      <c r="C29" s="161"/>
      <c r="D29" s="50">
        <f>SUM(B29:C29)</f>
        <v>0</v>
      </c>
      <c r="E29" s="49"/>
      <c r="F29" s="140"/>
      <c r="G29" s="235"/>
      <c r="H29" s="236"/>
      <c r="I29" s="237">
        <f>IF(I31="","",EXP(I31))</f>
      </c>
      <c r="J29" s="1"/>
      <c r="K29" s="1"/>
    </row>
    <row r="30" spans="1:11" ht="12" customHeight="1">
      <c r="A30" s="26" t="s">
        <v>54</v>
      </c>
      <c r="B30" s="26">
        <f>SUM(B28:B29)</f>
        <v>0</v>
      </c>
      <c r="C30" s="28">
        <f>SUM(C28:C29)</f>
        <v>0</v>
      </c>
      <c r="D30" s="27">
        <f>SUM(B30:C30)</f>
        <v>0</v>
      </c>
      <c r="E30" s="49"/>
      <c r="F30" s="180"/>
      <c r="G30" s="238">
        <f>IF(G28="","",LN(G28))</f>
      </c>
      <c r="H30" s="238">
        <f>IF(D30=0,"",SQRT(1/B28+1/B29+1/C28+1/C29))</f>
      </c>
      <c r="I30" s="238">
        <f>IF(G30="","",G30-1.96*H30)</f>
      </c>
      <c r="J30" s="8"/>
      <c r="K30" s="8"/>
    </row>
    <row r="31" spans="1:11" ht="12" customHeight="1">
      <c r="A31" s="208"/>
      <c r="B31" s="209"/>
      <c r="C31" s="209"/>
      <c r="D31" s="46"/>
      <c r="E31" s="46"/>
      <c r="F31" s="180"/>
      <c r="G31" s="238"/>
      <c r="H31" s="238"/>
      <c r="I31" s="238">
        <f>IF(G30="","",G30+1.96*H30)</f>
      </c>
      <c r="J31" s="8"/>
      <c r="K31" s="8"/>
    </row>
    <row r="32" spans="1:11" ht="12" customHeight="1">
      <c r="A32" s="489"/>
      <c r="B32" s="490"/>
      <c r="C32" s="490"/>
      <c r="D32" s="491"/>
      <c r="E32" s="46"/>
      <c r="F32" s="46"/>
      <c r="G32" s="239"/>
      <c r="H32" s="239"/>
      <c r="I32" s="239"/>
      <c r="J32" s="1"/>
      <c r="K32" s="1"/>
    </row>
    <row r="33" spans="1:11" ht="12" customHeight="1">
      <c r="A33" s="26" t="s">
        <v>137</v>
      </c>
      <c r="B33" s="26" t="s">
        <v>1</v>
      </c>
      <c r="C33" s="28" t="s">
        <v>130</v>
      </c>
      <c r="D33" s="27" t="s">
        <v>54</v>
      </c>
      <c r="E33" s="49" t="s">
        <v>57</v>
      </c>
      <c r="F33" s="175" t="s">
        <v>58</v>
      </c>
      <c r="G33" s="229" t="s">
        <v>3</v>
      </c>
      <c r="H33" s="230" t="s">
        <v>4</v>
      </c>
      <c r="I33" s="231" t="s">
        <v>18</v>
      </c>
      <c r="J33" s="2"/>
      <c r="K33" s="5"/>
    </row>
    <row r="34" spans="1:19" ht="12" customHeight="1">
      <c r="A34" s="30" t="s">
        <v>0</v>
      </c>
      <c r="B34" s="153"/>
      <c r="C34" s="154"/>
      <c r="D34" s="50">
        <f>SUM(B34:C34)</f>
        <v>0</v>
      </c>
      <c r="E34" s="226">
        <f>IF(D36&gt;0,B34*C35/D36,"")</f>
      </c>
      <c r="F34" s="227">
        <f>IF(D36&gt;0,C34*B35/D36,"")</f>
      </c>
      <c r="G34" s="232">
        <f>IF(F34="","",E34/F34)</f>
      </c>
      <c r="H34" s="233"/>
      <c r="I34" s="234">
        <f>IF(I36="","",EXP(I36))</f>
      </c>
      <c r="J34" s="1" t="e">
        <f>(B34+C35)/D36</f>
        <v>#DIV/0!</v>
      </c>
      <c r="K34" s="1" t="e">
        <f>(B35+C34)/D36</f>
        <v>#DIV/0!</v>
      </c>
      <c r="L34" t="e">
        <f>E34*J34</f>
        <v>#VALUE!</v>
      </c>
      <c r="M34" t="e">
        <f>F34*K34</f>
        <v>#VALUE!</v>
      </c>
      <c r="N34" t="e">
        <f>E34*K34+F34*J34</f>
        <v>#VALUE!</v>
      </c>
      <c r="O34" s="17" t="e">
        <f>((G36-$G$48)/H36)^2</f>
        <v>#VALUE!</v>
      </c>
      <c r="P34" s="18">
        <f>IF(D36&gt;0,1,0)</f>
        <v>0</v>
      </c>
      <c r="Q34" s="6" t="e">
        <f>D34*B36/D36</f>
        <v>#DIV/0!</v>
      </c>
      <c r="R34" s="6" t="e">
        <f>B34-Q34</f>
        <v>#DIV/0!</v>
      </c>
      <c r="S34" s="6" t="e">
        <f>B36*C36*D34*D35/D36^2/(D36-1)</f>
        <v>#DIV/0!</v>
      </c>
    </row>
    <row r="35" spans="1:11" ht="12" customHeight="1">
      <c r="A35" s="30">
        <v>0</v>
      </c>
      <c r="B35" s="160"/>
      <c r="C35" s="161"/>
      <c r="D35" s="50">
        <f>SUM(B35:C35)</f>
        <v>0</v>
      </c>
      <c r="E35" s="49"/>
      <c r="F35" s="140"/>
      <c r="G35" s="235"/>
      <c r="H35" s="236"/>
      <c r="I35" s="237">
        <f>IF(I37="","",EXP(I37))</f>
      </c>
      <c r="J35" s="1"/>
      <c r="K35" s="1"/>
    </row>
    <row r="36" spans="1:11" ht="12" customHeight="1">
      <c r="A36" s="26" t="s">
        <v>54</v>
      </c>
      <c r="B36" s="26">
        <f>SUM(B34:B35)</f>
        <v>0</v>
      </c>
      <c r="C36" s="28">
        <f>SUM(C34:C35)</f>
        <v>0</v>
      </c>
      <c r="D36" s="27">
        <f>SUM(B36:C36)</f>
        <v>0</v>
      </c>
      <c r="E36" s="49"/>
      <c r="F36" s="180"/>
      <c r="G36" s="238">
        <f>IF(G34="","",LN(G34))</f>
      </c>
      <c r="H36" s="238">
        <f>IF(D36=0,"",SQRT(1/B34+1/B35+1/C34+1/C35))</f>
      </c>
      <c r="I36" s="238">
        <f>IF(G36="","",G36-1.96*H36)</f>
      </c>
      <c r="J36" s="8"/>
      <c r="K36" s="8"/>
    </row>
    <row r="37" spans="1:11" ht="12" customHeight="1">
      <c r="A37" s="208"/>
      <c r="B37" s="209"/>
      <c r="C37" s="209"/>
      <c r="D37" s="46"/>
      <c r="E37" s="46"/>
      <c r="F37" s="180"/>
      <c r="G37" s="238"/>
      <c r="H37" s="238"/>
      <c r="I37" s="238">
        <f>IF(G36="","",G36+1.96*H36)</f>
      </c>
      <c r="J37" s="8"/>
      <c r="K37" s="8"/>
    </row>
    <row r="38" spans="1:11" ht="12" customHeight="1">
      <c r="A38" s="489"/>
      <c r="B38" s="490"/>
      <c r="C38" s="490"/>
      <c r="D38" s="491"/>
      <c r="E38" s="46"/>
      <c r="F38" s="46"/>
      <c r="G38" s="239"/>
      <c r="H38" s="239"/>
      <c r="I38" s="239"/>
      <c r="J38" s="1"/>
      <c r="K38" s="1"/>
    </row>
    <row r="39" spans="1:11" ht="12" customHeight="1">
      <c r="A39" s="26" t="s">
        <v>137</v>
      </c>
      <c r="B39" s="26" t="s">
        <v>1</v>
      </c>
      <c r="C39" s="28" t="s">
        <v>130</v>
      </c>
      <c r="D39" s="27" t="s">
        <v>54</v>
      </c>
      <c r="E39" s="49" t="s">
        <v>57</v>
      </c>
      <c r="F39" s="175" t="s">
        <v>58</v>
      </c>
      <c r="G39" s="229" t="s">
        <v>3</v>
      </c>
      <c r="H39" s="230" t="s">
        <v>4</v>
      </c>
      <c r="I39" s="231" t="s">
        <v>18</v>
      </c>
      <c r="J39" s="2"/>
      <c r="K39" s="5"/>
    </row>
    <row r="40" spans="1:19" ht="12" customHeight="1">
      <c r="A40" s="30" t="s">
        <v>0</v>
      </c>
      <c r="B40" s="153"/>
      <c r="C40" s="154"/>
      <c r="D40" s="50">
        <f>SUM(B40:C40)</f>
        <v>0</v>
      </c>
      <c r="E40" s="226">
        <f>IF(D42&gt;0,B40*C41/D42,"")</f>
      </c>
      <c r="F40" s="227">
        <f>IF(D42&gt;0,C40*B41/D42,"")</f>
      </c>
      <c r="G40" s="232">
        <f>IF(F40="","",E40/F40)</f>
      </c>
      <c r="H40" s="233"/>
      <c r="I40" s="234">
        <f>IF(I42="","",EXP(I42))</f>
      </c>
      <c r="J40" s="1" t="e">
        <f>(B40+C41)/D42</f>
        <v>#DIV/0!</v>
      </c>
      <c r="K40" s="1" t="e">
        <f>(B41+C40)/D42</f>
        <v>#DIV/0!</v>
      </c>
      <c r="L40" t="e">
        <f>E40*J40</f>
        <v>#VALUE!</v>
      </c>
      <c r="M40" t="e">
        <f>F40*K40</f>
        <v>#VALUE!</v>
      </c>
      <c r="N40" t="e">
        <f>E40*K40+F40*J40</f>
        <v>#VALUE!</v>
      </c>
      <c r="O40" s="17" t="e">
        <f>((G42-$G$48)/H42)^2</f>
        <v>#VALUE!</v>
      </c>
      <c r="P40" s="18">
        <f>IF(D42&gt;0,1,0)</f>
        <v>0</v>
      </c>
      <c r="Q40" s="6" t="e">
        <f>D40*B42/D42</f>
        <v>#DIV/0!</v>
      </c>
      <c r="R40" s="6" t="e">
        <f>B40-Q40</f>
        <v>#DIV/0!</v>
      </c>
      <c r="S40" s="6" t="e">
        <f>B42*C42*D40*D41/D42^2/(D42-1)</f>
        <v>#DIV/0!</v>
      </c>
    </row>
    <row r="41" spans="1:11" ht="12" customHeight="1">
      <c r="A41" s="30">
        <v>0</v>
      </c>
      <c r="B41" s="160"/>
      <c r="C41" s="161"/>
      <c r="D41" s="50">
        <f>SUM(B41:C41)</f>
        <v>0</v>
      </c>
      <c r="E41" s="49"/>
      <c r="F41" s="140"/>
      <c r="G41" s="235"/>
      <c r="H41" s="236"/>
      <c r="I41" s="237">
        <f>IF(I44="","",EXP(I44))</f>
      </c>
      <c r="J41" s="1"/>
      <c r="K41" s="1"/>
    </row>
    <row r="42" spans="1:11" ht="12" customHeight="1">
      <c r="A42" s="26" t="s">
        <v>54</v>
      </c>
      <c r="B42" s="26">
        <f>SUM(B40:B41)</f>
        <v>0</v>
      </c>
      <c r="C42" s="28">
        <f>SUM(C40:C41)</f>
        <v>0</v>
      </c>
      <c r="D42" s="27">
        <f>SUM(B42:C42)</f>
        <v>0</v>
      </c>
      <c r="E42" s="49"/>
      <c r="F42" s="180"/>
      <c r="G42" s="180">
        <f>IF(G40="","",LN(G40))</f>
      </c>
      <c r="H42" s="180">
        <f>IF(D42=0,"",SQRT(1/B40+1/B41+1/C40+1/C41))</f>
      </c>
      <c r="I42" s="180">
        <f>IF(G42="","",G42-1.96*H42)</f>
      </c>
      <c r="J42" s="8"/>
      <c r="K42" s="8"/>
    </row>
    <row r="43" spans="1:11" ht="12" customHeight="1">
      <c r="A43" s="49"/>
      <c r="B43" s="49"/>
      <c r="C43" s="49"/>
      <c r="D43" s="49"/>
      <c r="E43" s="49"/>
      <c r="F43" s="180"/>
      <c r="G43" s="180"/>
      <c r="H43" s="180"/>
      <c r="I43" s="180">
        <f>IF(G42="","",G42+1.96*H42)</f>
      </c>
      <c r="J43" s="8"/>
      <c r="K43" s="8"/>
    </row>
    <row r="44" spans="1:11" ht="12" customHeight="1">
      <c r="A44" s="210" t="s">
        <v>63</v>
      </c>
      <c r="B44" s="213"/>
      <c r="C44" s="213"/>
      <c r="D44" s="46"/>
      <c r="E44" s="46"/>
      <c r="F44" s="180"/>
      <c r="G44" s="210" t="s">
        <v>26</v>
      </c>
      <c r="H44" s="180"/>
      <c r="I44" s="180">
        <f>IF(G42="","",G42+1.96*H42)</f>
      </c>
      <c r="J44" s="8"/>
      <c r="K44" s="8"/>
    </row>
    <row r="45" spans="1:20" ht="12" customHeight="1">
      <c r="A45" s="27" t="s">
        <v>15</v>
      </c>
      <c r="B45" s="219" t="s">
        <v>52</v>
      </c>
      <c r="C45" s="142" t="s">
        <v>50</v>
      </c>
      <c r="D45" s="211"/>
      <c r="E45" s="24"/>
      <c r="F45" s="24"/>
      <c r="G45" s="230" t="s">
        <v>3</v>
      </c>
      <c r="H45" s="231" t="s">
        <v>4</v>
      </c>
      <c r="I45" s="231" t="s">
        <v>18</v>
      </c>
      <c r="J45" s="2" t="s">
        <v>29</v>
      </c>
      <c r="K45" s="5" t="s">
        <v>30</v>
      </c>
      <c r="L45" s="5" t="s">
        <v>31</v>
      </c>
      <c r="M45" s="5" t="s">
        <v>32</v>
      </c>
      <c r="N45" s="5" t="s">
        <v>36</v>
      </c>
      <c r="O45" s="5" t="s">
        <v>55</v>
      </c>
      <c r="P45" s="5" t="s">
        <v>62</v>
      </c>
      <c r="Q45" s="5" t="s">
        <v>60</v>
      </c>
      <c r="R45" s="5" t="s">
        <v>59</v>
      </c>
      <c r="S45" s="5" t="s">
        <v>61</v>
      </c>
      <c r="T45" s="5" t="s">
        <v>64</v>
      </c>
    </row>
    <row r="46" spans="1:20" ht="12" customHeight="1">
      <c r="A46" s="163">
        <f>R46^2/S46</f>
        <v>5.809154998150766</v>
      </c>
      <c r="B46" s="27">
        <v>1</v>
      </c>
      <c r="C46" s="82">
        <f>CHIDIST(A46,B46)</f>
        <v>0.015942953914289813</v>
      </c>
      <c r="D46" s="143"/>
      <c r="E46" s="209">
        <f>SUMIF(E10:E40,"&gt;0")</f>
        <v>3.6090929451287797</v>
      </c>
      <c r="F46" s="209">
        <f>SUMIF(F10:F40,"&gt;0")</f>
        <v>0.9544904815229562</v>
      </c>
      <c r="G46" s="215">
        <f>E46/F46</f>
        <v>3.7811722746257455</v>
      </c>
      <c r="H46" s="157"/>
      <c r="I46" s="216">
        <f>EXP(I48)</f>
        <v>1.1873150002610298</v>
      </c>
      <c r="J46" s="4">
        <f aca="true" t="shared" si="0" ref="J46:S46">SUMIF(J10:J40,"&gt;0")</f>
        <v>1.819619260918253</v>
      </c>
      <c r="K46" s="4">
        <f t="shared" si="0"/>
        <v>0.1803807390817469</v>
      </c>
      <c r="L46" s="4">
        <f t="shared" si="0"/>
        <v>3.2728323722269383</v>
      </c>
      <c r="M46" s="4">
        <f t="shared" si="0"/>
        <v>0.08990518114638052</v>
      </c>
      <c r="N46" s="4">
        <f t="shared" si="0"/>
        <v>1.2008458732784164</v>
      </c>
      <c r="O46" s="4">
        <f t="shared" si="0"/>
        <v>0.13776933766837401</v>
      </c>
      <c r="P46" s="18">
        <f t="shared" si="0"/>
        <v>2</v>
      </c>
      <c r="Q46" s="6">
        <f t="shared" si="0"/>
        <v>1.3453975363941768</v>
      </c>
      <c r="R46" s="6">
        <f>SUMIF(R10:R40,"&lt;0")+SUMIF(R10:R40,"&gt;0")</f>
        <v>2.654602463605823</v>
      </c>
      <c r="S46" s="6">
        <f t="shared" si="0"/>
        <v>1.2130704451895942</v>
      </c>
      <c r="T46" s="6">
        <f>SQRT(S46/(E46*F46))</f>
        <v>0.5934145309850646</v>
      </c>
    </row>
    <row r="47" spans="1:12" ht="12" customHeight="1">
      <c r="A47" s="45"/>
      <c r="B47" s="143"/>
      <c r="C47" s="24"/>
      <c r="D47" s="49"/>
      <c r="E47" s="49"/>
      <c r="F47" s="24"/>
      <c r="G47" s="176"/>
      <c r="H47" s="178"/>
      <c r="I47" s="218">
        <f>EXP(I49)</f>
        <v>12.041677033689627</v>
      </c>
      <c r="J47" s="1" t="s">
        <v>33</v>
      </c>
      <c r="K47" s="1" t="s">
        <v>34</v>
      </c>
      <c r="L47" s="1" t="s">
        <v>35</v>
      </c>
    </row>
    <row r="48" spans="1:12" ht="12" customHeight="1">
      <c r="A48" s="25" t="s">
        <v>51</v>
      </c>
      <c r="B48" s="24"/>
      <c r="C48" s="24"/>
      <c r="D48" s="46"/>
      <c r="E48" s="46"/>
      <c r="F48" s="24"/>
      <c r="G48" s="180">
        <f>LN(G46)</f>
        <v>1.3300340871148708</v>
      </c>
      <c r="H48" s="180">
        <f>SQRT(SUM(J48:L48))</f>
        <v>0.5909896079482079</v>
      </c>
      <c r="I48" s="180">
        <f>G48-1.96*H48</f>
        <v>0.1716944555363833</v>
      </c>
      <c r="J48" s="8">
        <f>L46/2/E46^2</f>
        <v>0.12563123623189051</v>
      </c>
      <c r="K48" s="8">
        <f>N46/(2*E46*F46)</f>
        <v>0.17429607442651926</v>
      </c>
      <c r="L48" s="19">
        <f>M46/2/F46^2</f>
        <v>0.04934140604436665</v>
      </c>
    </row>
    <row r="49" spans="1:11" ht="12" customHeight="1">
      <c r="A49" s="118" t="s">
        <v>53</v>
      </c>
      <c r="B49" s="118" t="s">
        <v>52</v>
      </c>
      <c r="C49" s="118" t="s">
        <v>50</v>
      </c>
      <c r="D49" s="46"/>
      <c r="E49" s="46"/>
      <c r="F49" s="180"/>
      <c r="G49" s="180"/>
      <c r="H49" s="180"/>
      <c r="I49" s="180">
        <f>G48+1.96*H48</f>
        <v>2.4883737186933583</v>
      </c>
      <c r="J49" s="8"/>
      <c r="K49" s="8"/>
    </row>
    <row r="50" spans="1:11" ht="12" customHeight="1">
      <c r="A50" s="163">
        <f>O46</f>
        <v>0.13776933766837401</v>
      </c>
      <c r="B50" s="118">
        <f>P46-1</f>
        <v>1</v>
      </c>
      <c r="C50" s="82">
        <f>CHIDIST(A50,B50)</f>
        <v>0.7105087403606483</v>
      </c>
      <c r="D50" s="228"/>
      <c r="E50" s="44"/>
      <c r="F50" s="184"/>
      <c r="G50" s="180"/>
      <c r="H50" s="180"/>
      <c r="I50" s="180"/>
      <c r="J50" s="8"/>
      <c r="K50" s="8"/>
    </row>
    <row r="51" spans="1:11" ht="12" customHeight="1">
      <c r="A51" s="24"/>
      <c r="B51" s="24"/>
      <c r="C51" s="24"/>
      <c r="D51" s="228"/>
      <c r="E51" s="44"/>
      <c r="F51" s="184"/>
      <c r="G51" s="180"/>
      <c r="H51" s="180"/>
      <c r="I51" s="180"/>
      <c r="J51" s="8"/>
      <c r="K51" s="8"/>
    </row>
    <row r="52" spans="1:11" ht="12" customHeight="1">
      <c r="A52" s="25" t="s">
        <v>54</v>
      </c>
      <c r="B52" s="24"/>
      <c r="C52" s="24"/>
      <c r="D52" s="46"/>
      <c r="E52" s="46"/>
      <c r="F52" s="46"/>
      <c r="G52" s="143" t="s">
        <v>56</v>
      </c>
      <c r="H52" s="46"/>
      <c r="I52" s="46"/>
      <c r="J52" s="1"/>
      <c r="K52" s="1"/>
    </row>
    <row r="53" spans="1:11" ht="12" customHeight="1">
      <c r="A53" s="26" t="s">
        <v>137</v>
      </c>
      <c r="B53" s="26" t="s">
        <v>1</v>
      </c>
      <c r="C53" s="28" t="s">
        <v>130</v>
      </c>
      <c r="D53" s="27" t="s">
        <v>54</v>
      </c>
      <c r="E53" s="49" t="s">
        <v>57</v>
      </c>
      <c r="F53" s="175" t="s">
        <v>58</v>
      </c>
      <c r="G53" s="229" t="s">
        <v>3</v>
      </c>
      <c r="H53" s="230" t="s">
        <v>4</v>
      </c>
      <c r="I53" s="231" t="s">
        <v>18</v>
      </c>
      <c r="J53" s="1"/>
      <c r="K53" s="1"/>
    </row>
    <row r="54" spans="1:11" ht="12" customHeight="1">
      <c r="A54" s="30" t="s">
        <v>0</v>
      </c>
      <c r="B54" s="220">
        <f>SUM(B10,B16,B22,B28,B34)</f>
        <v>4</v>
      </c>
      <c r="C54" s="221">
        <f>SUM(C10,C16,C22,C28,C34)</f>
        <v>109</v>
      </c>
      <c r="D54" s="50">
        <f>SUM(B54:C54)</f>
        <v>113</v>
      </c>
      <c r="E54" s="213">
        <f>B54*C55/D56</f>
        <v>3.606299212598425</v>
      </c>
      <c r="F54" s="209">
        <f>C54*B55/D56</f>
        <v>1.0299212598425196</v>
      </c>
      <c r="G54" s="222">
        <f>E54/F54</f>
        <v>3.5015290519877675</v>
      </c>
      <c r="H54" s="155"/>
      <c r="I54" s="216">
        <f>EXP(I56)</f>
        <v>1.1103383823185713</v>
      </c>
      <c r="J54" s="1"/>
      <c r="K54" s="1"/>
    </row>
    <row r="55" spans="1:11" ht="12" customHeight="1">
      <c r="A55" s="30">
        <v>0</v>
      </c>
      <c r="B55" s="223">
        <f>SUM(B11,B17,B23,B29,B35)</f>
        <v>12</v>
      </c>
      <c r="C55" s="224">
        <f>SUM(C11,C17,C23,C29,C35)</f>
        <v>1145</v>
      </c>
      <c r="D55" s="50">
        <f>SUM(B55:C55)</f>
        <v>1157</v>
      </c>
      <c r="E55" s="49"/>
      <c r="F55" s="140"/>
      <c r="G55" s="123"/>
      <c r="H55" s="176"/>
      <c r="I55" s="218">
        <f>EXP(I57)</f>
        <v>11.042314574690248</v>
      </c>
      <c r="J55" s="1"/>
      <c r="K55" s="1"/>
    </row>
    <row r="56" spans="1:11" ht="12" customHeight="1">
      <c r="A56" s="26" t="s">
        <v>54</v>
      </c>
      <c r="B56" s="26">
        <f>SUM(B54:B55)</f>
        <v>16</v>
      </c>
      <c r="C56" s="28">
        <f>SUM(C54:C55)</f>
        <v>1254</v>
      </c>
      <c r="D56" s="27">
        <f>SUM(B56:C56)</f>
        <v>1270</v>
      </c>
      <c r="E56" s="49"/>
      <c r="F56" s="180"/>
      <c r="G56" s="180">
        <f>LN(G54)</f>
        <v>1.2531997450910866</v>
      </c>
      <c r="H56" s="180">
        <f>SQRT(1/B54+1/B55+1/C54+1/C55)</f>
        <v>0.5859872078000967</v>
      </c>
      <c r="I56" s="180">
        <f>G56-1.96*H56</f>
        <v>0.10466481780289705</v>
      </c>
      <c r="J56" s="1"/>
      <c r="K56" s="1"/>
    </row>
    <row r="57" spans="1:11" ht="12" customHeight="1">
      <c r="A57" s="208"/>
      <c r="B57" s="209"/>
      <c r="C57" s="209"/>
      <c r="D57" s="46"/>
      <c r="E57" s="46"/>
      <c r="F57" s="180"/>
      <c r="G57" s="180"/>
      <c r="H57" s="180"/>
      <c r="I57" s="180">
        <f>G56+1.96*H56</f>
        <v>2.401734672379276</v>
      </c>
      <c r="J57" s="1"/>
      <c r="K57" s="1"/>
    </row>
    <row r="58" spans="1:11" ht="12.75">
      <c r="A58" s="3"/>
      <c r="B58" s="4"/>
      <c r="C58" s="4"/>
      <c r="D58" s="1"/>
      <c r="E58" s="1"/>
      <c r="F58" s="8"/>
      <c r="G58" s="8"/>
      <c r="H58" s="8"/>
      <c r="I58" s="8"/>
      <c r="J58" s="1"/>
      <c r="K58" s="1"/>
    </row>
  </sheetData>
  <sheetProtection sheet="1" objects="1" scenarios="1"/>
  <mergeCells count="10">
    <mergeCell ref="A32:D32"/>
    <mergeCell ref="A38:D38"/>
    <mergeCell ref="A5:I5"/>
    <mergeCell ref="A6:I6"/>
    <mergeCell ref="A8:D8"/>
    <mergeCell ref="A14:D14"/>
    <mergeCell ref="C1:G1"/>
    <mergeCell ref="A20:D20"/>
    <mergeCell ref="A26:D26"/>
    <mergeCell ref="I1:I2"/>
  </mergeCells>
  <hyperlinks>
    <hyperlink ref="I1:I2" location="Start!A1" display="Start"/>
  </hyperlink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1">
      <selection activeCell="H1" sqref="H1:H2"/>
    </sheetView>
  </sheetViews>
  <sheetFormatPr defaultColWidth="9.140625" defaultRowHeight="12.75"/>
  <cols>
    <col min="1" max="1" width="8.7109375" style="0" customWidth="1"/>
    <col min="2" max="2" width="11.7109375" style="0" customWidth="1"/>
    <col min="3" max="8" width="8.7109375" style="0" customWidth="1"/>
    <col min="9" max="12" width="0" style="0" hidden="1" customWidth="1"/>
  </cols>
  <sheetData>
    <row r="1" spans="1:8" ht="13.5" customHeight="1">
      <c r="A1" s="7" t="s">
        <v>99</v>
      </c>
      <c r="H1" s="470" t="s">
        <v>218</v>
      </c>
    </row>
    <row r="2" ht="13.5" customHeight="1">
      <c r="H2" s="471"/>
    </row>
    <row r="3" ht="13.5" customHeight="1"/>
    <row r="4" spans="1:13" ht="13.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13.5" customHeight="1">
      <c r="A5" s="504" t="s">
        <v>212</v>
      </c>
      <c r="B5" s="505"/>
      <c r="C5" s="505"/>
      <c r="D5" s="505"/>
      <c r="E5" s="505"/>
      <c r="F5" s="505"/>
      <c r="G5" s="506"/>
      <c r="H5" s="24"/>
      <c r="I5" s="24"/>
      <c r="J5" s="24"/>
      <c r="K5" s="24"/>
      <c r="L5" s="24"/>
      <c r="M5" s="24"/>
    </row>
    <row r="6" spans="1:13" ht="13.5" customHeight="1">
      <c r="A6" s="507" t="s">
        <v>104</v>
      </c>
      <c r="B6" s="508"/>
      <c r="C6" s="508"/>
      <c r="D6" s="508"/>
      <c r="E6" s="508"/>
      <c r="F6" s="508"/>
      <c r="G6" s="509"/>
      <c r="H6" s="24"/>
      <c r="I6" s="24"/>
      <c r="J6" s="24"/>
      <c r="K6" s="24"/>
      <c r="L6" s="24"/>
      <c r="M6" s="24"/>
    </row>
    <row r="7" spans="1:13" ht="13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13.5" customHeight="1">
      <c r="A8" s="404" t="s">
        <v>214</v>
      </c>
      <c r="B8" s="364" t="s">
        <v>213</v>
      </c>
      <c r="C8" s="99">
        <v>1</v>
      </c>
      <c r="D8" s="100">
        <v>2</v>
      </c>
      <c r="E8" s="100">
        <v>3</v>
      </c>
      <c r="F8" s="100">
        <v>4</v>
      </c>
      <c r="G8" s="101">
        <v>5</v>
      </c>
      <c r="H8" s="40"/>
      <c r="I8" s="24"/>
      <c r="J8" s="24"/>
      <c r="K8" s="24"/>
      <c r="L8" s="24"/>
      <c r="M8" s="24"/>
    </row>
    <row r="9" spans="1:13" ht="13.5" customHeight="1">
      <c r="A9" s="405"/>
      <c r="B9" s="365" t="s">
        <v>87</v>
      </c>
      <c r="C9" s="103" t="s">
        <v>105</v>
      </c>
      <c r="D9" s="104" t="s">
        <v>106</v>
      </c>
      <c r="E9" s="104" t="s">
        <v>107</v>
      </c>
      <c r="F9" s="104"/>
      <c r="G9" s="105"/>
      <c r="H9" s="102" t="s">
        <v>54</v>
      </c>
      <c r="I9" s="46"/>
      <c r="J9" s="46" t="s">
        <v>88</v>
      </c>
      <c r="K9" s="46" t="s">
        <v>94</v>
      </c>
      <c r="L9" s="46" t="s">
        <v>95</v>
      </c>
      <c r="M9" s="24"/>
    </row>
    <row r="10" spans="1:13" ht="13.5" customHeight="1">
      <c r="A10" s="106">
        <v>1</v>
      </c>
      <c r="B10" s="107" t="s">
        <v>108</v>
      </c>
      <c r="C10" s="127">
        <v>266</v>
      </c>
      <c r="D10" s="128">
        <v>395</v>
      </c>
      <c r="E10" s="128">
        <v>80</v>
      </c>
      <c r="F10" s="128"/>
      <c r="G10" s="129"/>
      <c r="H10" s="108">
        <f>IF(I10,I10,"")</f>
        <v>741</v>
      </c>
      <c r="I10" s="109">
        <f>SUM(C10:G10)</f>
        <v>741</v>
      </c>
      <c r="J10" s="46">
        <f>IF(I10,1,0)</f>
        <v>1</v>
      </c>
      <c r="K10" s="46">
        <f>A10*I10</f>
        <v>741</v>
      </c>
      <c r="L10" s="46">
        <f>A10*K10</f>
        <v>741</v>
      </c>
      <c r="M10" s="24"/>
    </row>
    <row r="11" spans="1:13" ht="13.5" customHeight="1">
      <c r="A11" s="110">
        <v>2</v>
      </c>
      <c r="B11" s="111" t="s">
        <v>109</v>
      </c>
      <c r="C11" s="130">
        <v>1037</v>
      </c>
      <c r="D11" s="112">
        <v>977</v>
      </c>
      <c r="E11" s="112">
        <v>92</v>
      </c>
      <c r="F11" s="112"/>
      <c r="G11" s="131"/>
      <c r="H11" s="108">
        <f aca="true" t="shared" si="0" ref="H11:H19">IF(I11,I11,"")</f>
        <v>2106</v>
      </c>
      <c r="I11" s="109">
        <f aca="true" t="shared" si="1" ref="I11:I19">SUM(C11:G11)</f>
        <v>2106</v>
      </c>
      <c r="J11" s="46">
        <f aca="true" t="shared" si="2" ref="J11:J19">IF(I11,1,0)</f>
        <v>1</v>
      </c>
      <c r="K11" s="46">
        <f aca="true" t="shared" si="3" ref="K11:K19">A11*I11</f>
        <v>4212</v>
      </c>
      <c r="L11" s="46">
        <f aca="true" t="shared" si="4" ref="L11:L19">A11*K11</f>
        <v>8424</v>
      </c>
      <c r="M11" s="24"/>
    </row>
    <row r="12" spans="1:13" ht="13.5" customHeight="1">
      <c r="A12" s="110">
        <v>3</v>
      </c>
      <c r="B12" s="111"/>
      <c r="C12" s="130"/>
      <c r="D12" s="112"/>
      <c r="E12" s="112"/>
      <c r="F12" s="112"/>
      <c r="G12" s="131"/>
      <c r="H12" s="108">
        <f t="shared" si="0"/>
      </c>
      <c r="I12" s="109">
        <f t="shared" si="1"/>
        <v>0</v>
      </c>
      <c r="J12" s="46">
        <f t="shared" si="2"/>
        <v>0</v>
      </c>
      <c r="K12" s="46">
        <f t="shared" si="3"/>
        <v>0</v>
      </c>
      <c r="L12" s="46">
        <f t="shared" si="4"/>
        <v>0</v>
      </c>
      <c r="M12" s="24"/>
    </row>
    <row r="13" spans="1:13" ht="13.5" customHeight="1">
      <c r="A13" s="110">
        <v>4</v>
      </c>
      <c r="B13" s="111"/>
      <c r="C13" s="130"/>
      <c r="D13" s="112"/>
      <c r="E13" s="112"/>
      <c r="F13" s="112"/>
      <c r="G13" s="131"/>
      <c r="H13" s="108">
        <f t="shared" si="0"/>
      </c>
      <c r="I13" s="109">
        <f t="shared" si="1"/>
        <v>0</v>
      </c>
      <c r="J13" s="46">
        <f t="shared" si="2"/>
        <v>0</v>
      </c>
      <c r="K13" s="46">
        <f t="shared" si="3"/>
        <v>0</v>
      </c>
      <c r="L13" s="46">
        <f t="shared" si="4"/>
        <v>0</v>
      </c>
      <c r="M13" s="24"/>
    </row>
    <row r="14" spans="1:13" ht="13.5" customHeight="1">
      <c r="A14" s="110">
        <v>5</v>
      </c>
      <c r="B14" s="111"/>
      <c r="C14" s="130"/>
      <c r="D14" s="112"/>
      <c r="E14" s="112"/>
      <c r="F14" s="112"/>
      <c r="G14" s="131"/>
      <c r="H14" s="108">
        <f t="shared" si="0"/>
      </c>
      <c r="I14" s="109">
        <f t="shared" si="1"/>
        <v>0</v>
      </c>
      <c r="J14" s="46">
        <f t="shared" si="2"/>
        <v>0</v>
      </c>
      <c r="K14" s="46">
        <f t="shared" si="3"/>
        <v>0</v>
      </c>
      <c r="L14" s="46">
        <f t="shared" si="4"/>
        <v>0</v>
      </c>
      <c r="M14" s="24"/>
    </row>
    <row r="15" spans="1:13" ht="13.5" customHeight="1">
      <c r="A15" s="110">
        <v>6</v>
      </c>
      <c r="B15" s="111"/>
      <c r="C15" s="130"/>
      <c r="D15" s="112"/>
      <c r="E15" s="112"/>
      <c r="F15" s="112"/>
      <c r="G15" s="131"/>
      <c r="H15" s="108">
        <f t="shared" si="0"/>
      </c>
      <c r="I15" s="109">
        <f t="shared" si="1"/>
        <v>0</v>
      </c>
      <c r="J15" s="46">
        <f t="shared" si="2"/>
        <v>0</v>
      </c>
      <c r="K15" s="46">
        <f t="shared" si="3"/>
        <v>0</v>
      </c>
      <c r="L15" s="46">
        <f t="shared" si="4"/>
        <v>0</v>
      </c>
      <c r="M15" s="24"/>
    </row>
    <row r="16" spans="1:13" ht="13.5" customHeight="1">
      <c r="A16" s="110">
        <v>7</v>
      </c>
      <c r="B16" s="111"/>
      <c r="C16" s="130"/>
      <c r="D16" s="112"/>
      <c r="E16" s="112"/>
      <c r="F16" s="112"/>
      <c r="G16" s="131"/>
      <c r="H16" s="108">
        <f t="shared" si="0"/>
      </c>
      <c r="I16" s="109">
        <f t="shared" si="1"/>
        <v>0</v>
      </c>
      <c r="J16" s="46">
        <f t="shared" si="2"/>
        <v>0</v>
      </c>
      <c r="K16" s="46">
        <f t="shared" si="3"/>
        <v>0</v>
      </c>
      <c r="L16" s="46">
        <f t="shared" si="4"/>
        <v>0</v>
      </c>
      <c r="M16" s="24"/>
    </row>
    <row r="17" spans="1:13" ht="13.5" customHeight="1">
      <c r="A17" s="110">
        <v>8</v>
      </c>
      <c r="B17" s="111"/>
      <c r="C17" s="130"/>
      <c r="D17" s="112"/>
      <c r="E17" s="112"/>
      <c r="F17" s="112"/>
      <c r="G17" s="131"/>
      <c r="H17" s="108">
        <f t="shared" si="0"/>
      </c>
      <c r="I17" s="109">
        <f t="shared" si="1"/>
        <v>0</v>
      </c>
      <c r="J17" s="46">
        <f t="shared" si="2"/>
        <v>0</v>
      </c>
      <c r="K17" s="46">
        <f t="shared" si="3"/>
        <v>0</v>
      </c>
      <c r="L17" s="46">
        <f t="shared" si="4"/>
        <v>0</v>
      </c>
      <c r="M17" s="24"/>
    </row>
    <row r="18" spans="1:13" ht="13.5" customHeight="1">
      <c r="A18" s="110">
        <v>9</v>
      </c>
      <c r="B18" s="111"/>
      <c r="C18" s="130"/>
      <c r="D18" s="112"/>
      <c r="E18" s="112"/>
      <c r="F18" s="112"/>
      <c r="G18" s="131"/>
      <c r="H18" s="108">
        <f t="shared" si="0"/>
      </c>
      <c r="I18" s="109">
        <f t="shared" si="1"/>
        <v>0</v>
      </c>
      <c r="J18" s="46">
        <f t="shared" si="2"/>
        <v>0</v>
      </c>
      <c r="K18" s="46">
        <f t="shared" si="3"/>
        <v>0</v>
      </c>
      <c r="L18" s="46">
        <f t="shared" si="4"/>
        <v>0</v>
      </c>
      <c r="M18" s="24"/>
    </row>
    <row r="19" spans="1:13" ht="13.5" customHeight="1">
      <c r="A19" s="113">
        <v>10</v>
      </c>
      <c r="B19" s="114"/>
      <c r="C19" s="132"/>
      <c r="D19" s="133"/>
      <c r="E19" s="133"/>
      <c r="F19" s="133"/>
      <c r="G19" s="134"/>
      <c r="H19" s="108">
        <f t="shared" si="0"/>
      </c>
      <c r="I19" s="109">
        <f t="shared" si="1"/>
        <v>0</v>
      </c>
      <c r="J19" s="46">
        <f t="shared" si="2"/>
        <v>0</v>
      </c>
      <c r="K19" s="46">
        <f t="shared" si="3"/>
        <v>0</v>
      </c>
      <c r="L19" s="46">
        <f t="shared" si="4"/>
        <v>0</v>
      </c>
      <c r="M19" s="24"/>
    </row>
    <row r="20" spans="1:13" ht="13.5" customHeight="1">
      <c r="A20" s="40"/>
      <c r="B20" s="102" t="s">
        <v>54</v>
      </c>
      <c r="C20" s="115">
        <f>IF(C21,C21,"")</f>
        <v>1303</v>
      </c>
      <c r="D20" s="116">
        <f>IF(D21,D21,"")</f>
        <v>1372</v>
      </c>
      <c r="E20" s="116">
        <f>IF(E21,E21,"")</f>
        <v>172</v>
      </c>
      <c r="F20" s="116">
        <f>IF(F21,F21,"")</f>
      </c>
      <c r="G20" s="117">
        <f>IF(G21,G21,"")</f>
      </c>
      <c r="H20" s="118">
        <f>SUM(H10:H19)</f>
        <v>2847</v>
      </c>
      <c r="I20" s="46"/>
      <c r="J20" s="46">
        <f>SUM(J10:J19)</f>
        <v>2</v>
      </c>
      <c r="K20" s="46">
        <f>SUM(K10:K19)</f>
        <v>4953</v>
      </c>
      <c r="L20" s="46">
        <f>SUM(L10:L19)</f>
        <v>9165</v>
      </c>
      <c r="M20" s="24"/>
    </row>
    <row r="21" spans="1:13" ht="13.5" customHeight="1" hidden="1">
      <c r="A21" s="46"/>
      <c r="B21" s="46"/>
      <c r="C21" s="109">
        <f>SUM(C10:C19)</f>
        <v>1303</v>
      </c>
      <c r="D21" s="109">
        <f>SUM(D10:D19)</f>
        <v>1372</v>
      </c>
      <c r="E21" s="109">
        <f>SUM(E10:E19)</f>
        <v>172</v>
      </c>
      <c r="F21" s="109">
        <f>SUM(F10:F19)</f>
        <v>0</v>
      </c>
      <c r="G21" s="109">
        <f>SUM(G10:G19)</f>
        <v>0</v>
      </c>
      <c r="H21" s="46"/>
      <c r="I21" s="24"/>
      <c r="J21" s="24"/>
      <c r="K21" s="24"/>
      <c r="L21" s="24"/>
      <c r="M21" s="24"/>
    </row>
    <row r="22" spans="1:13" ht="13.5" customHeight="1" hidden="1">
      <c r="A22" s="46"/>
      <c r="B22" s="46" t="s">
        <v>89</v>
      </c>
      <c r="C22" s="46">
        <f>IF(C21,1,0)</f>
        <v>1</v>
      </c>
      <c r="D22" s="46">
        <f>IF(D21,1,0)</f>
        <v>1</v>
      </c>
      <c r="E22" s="46">
        <f>IF(E21,1,0)</f>
        <v>1</v>
      </c>
      <c r="F22" s="46">
        <f>IF(F21,1,0)</f>
        <v>0</v>
      </c>
      <c r="G22" s="46">
        <f>IF(G21,1,0)</f>
        <v>0</v>
      </c>
      <c r="H22" s="46">
        <f>SUM(C22:G22)</f>
        <v>3</v>
      </c>
      <c r="I22" s="24"/>
      <c r="J22" s="24"/>
      <c r="K22" s="24"/>
      <c r="L22" s="24"/>
      <c r="M22" s="24"/>
    </row>
    <row r="23" spans="1:13" ht="13.5" customHeight="1" hidden="1">
      <c r="A23" s="46"/>
      <c r="B23" s="46" t="s">
        <v>92</v>
      </c>
      <c r="C23" s="46">
        <f>C8*C21</f>
        <v>1303</v>
      </c>
      <c r="D23" s="46">
        <f>D8*D21</f>
        <v>2744</v>
      </c>
      <c r="E23" s="46">
        <f>E8*E21</f>
        <v>516</v>
      </c>
      <c r="F23" s="46">
        <f>F8*F21</f>
        <v>0</v>
      </c>
      <c r="G23" s="46">
        <f>G8*G21</f>
        <v>0</v>
      </c>
      <c r="H23" s="46">
        <f>SUM(C23:G23)</f>
        <v>4563</v>
      </c>
      <c r="I23" s="24"/>
      <c r="J23" s="24"/>
      <c r="K23" s="24"/>
      <c r="L23" s="24"/>
      <c r="M23" s="24"/>
    </row>
    <row r="24" spans="1:13" ht="13.5" customHeight="1" hidden="1">
      <c r="A24" s="46"/>
      <c r="B24" s="46" t="s">
        <v>93</v>
      </c>
      <c r="C24" s="46">
        <f>C23*C8</f>
        <v>1303</v>
      </c>
      <c r="D24" s="46">
        <f>D23*D8</f>
        <v>5488</v>
      </c>
      <c r="E24" s="46">
        <f>E23*E8</f>
        <v>1548</v>
      </c>
      <c r="F24" s="46">
        <f>F23*F8</f>
        <v>0</v>
      </c>
      <c r="G24" s="46">
        <f>G23*G8</f>
        <v>0</v>
      </c>
      <c r="H24" s="46">
        <f>SUM(C24:G24)</f>
        <v>8339</v>
      </c>
      <c r="I24" s="24"/>
      <c r="J24" s="24"/>
      <c r="K24" s="24"/>
      <c r="L24" s="24"/>
      <c r="M24" s="24"/>
    </row>
    <row r="25" spans="1:13" ht="13.5" customHeight="1" hidden="1">
      <c r="A25" s="46"/>
      <c r="B25" s="46"/>
      <c r="C25" s="46"/>
      <c r="D25" s="46"/>
      <c r="E25" s="46"/>
      <c r="F25" s="46"/>
      <c r="G25" s="46"/>
      <c r="H25" s="46"/>
      <c r="I25" s="24"/>
      <c r="J25" s="24"/>
      <c r="K25" s="24"/>
      <c r="L25" s="24"/>
      <c r="M25" s="24"/>
    </row>
    <row r="26" spans="1:13" ht="13.5" customHeight="1" hidden="1">
      <c r="A26" s="46" t="s">
        <v>90</v>
      </c>
      <c r="B26" s="46"/>
      <c r="C26" s="46">
        <f aca="true" t="shared" si="5" ref="C26:G33">IF($H$20,$I10*C$21/$H$20,0)</f>
        <v>339.13698630136986</v>
      </c>
      <c r="D26" s="46">
        <f t="shared" si="5"/>
        <v>357.09589041095893</v>
      </c>
      <c r="E26" s="46">
        <f t="shared" si="5"/>
        <v>44.76712328767123</v>
      </c>
      <c r="F26" s="46">
        <f t="shared" si="5"/>
        <v>0</v>
      </c>
      <c r="G26" s="46">
        <f t="shared" si="5"/>
        <v>0</v>
      </c>
      <c r="H26" s="46"/>
      <c r="I26" s="24"/>
      <c r="J26" s="24"/>
      <c r="K26" s="24"/>
      <c r="L26" s="24"/>
      <c r="M26" s="24"/>
    </row>
    <row r="27" spans="1:13" ht="13.5" customHeight="1" hidden="1">
      <c r="A27" s="46"/>
      <c r="B27" s="46"/>
      <c r="C27" s="46">
        <f t="shared" si="5"/>
        <v>963.8630136986301</v>
      </c>
      <c r="D27" s="46">
        <f t="shared" si="5"/>
        <v>1014.9041095890411</v>
      </c>
      <c r="E27" s="46">
        <f t="shared" si="5"/>
        <v>127.23287671232876</v>
      </c>
      <c r="F27" s="46">
        <f t="shared" si="5"/>
        <v>0</v>
      </c>
      <c r="G27" s="46">
        <f t="shared" si="5"/>
        <v>0</v>
      </c>
      <c r="H27" s="46"/>
      <c r="I27" s="24"/>
      <c r="J27" s="24"/>
      <c r="K27" s="24"/>
      <c r="L27" s="24"/>
      <c r="M27" s="24"/>
    </row>
    <row r="28" spans="1:13" ht="13.5" customHeight="1" hidden="1">
      <c r="A28" s="46"/>
      <c r="B28" s="46"/>
      <c r="C28" s="46">
        <f t="shared" si="5"/>
        <v>0</v>
      </c>
      <c r="D28" s="46">
        <f t="shared" si="5"/>
        <v>0</v>
      </c>
      <c r="E28" s="46">
        <f t="shared" si="5"/>
        <v>0</v>
      </c>
      <c r="F28" s="46">
        <f t="shared" si="5"/>
        <v>0</v>
      </c>
      <c r="G28" s="46">
        <f t="shared" si="5"/>
        <v>0</v>
      </c>
      <c r="H28" s="46"/>
      <c r="I28" s="24"/>
      <c r="J28" s="24"/>
      <c r="K28" s="24"/>
      <c r="L28" s="24"/>
      <c r="M28" s="24"/>
    </row>
    <row r="29" spans="1:13" ht="13.5" customHeight="1" hidden="1">
      <c r="A29" s="46"/>
      <c r="B29" s="46"/>
      <c r="C29" s="46">
        <f t="shared" si="5"/>
        <v>0</v>
      </c>
      <c r="D29" s="46">
        <f t="shared" si="5"/>
        <v>0</v>
      </c>
      <c r="E29" s="46">
        <f t="shared" si="5"/>
        <v>0</v>
      </c>
      <c r="F29" s="46">
        <f t="shared" si="5"/>
        <v>0</v>
      </c>
      <c r="G29" s="46">
        <f t="shared" si="5"/>
        <v>0</v>
      </c>
      <c r="H29" s="46"/>
      <c r="I29" s="24"/>
      <c r="J29" s="24"/>
      <c r="K29" s="24"/>
      <c r="L29" s="24"/>
      <c r="M29" s="24"/>
    </row>
    <row r="30" spans="1:13" ht="13.5" customHeight="1" hidden="1">
      <c r="A30" s="46"/>
      <c r="B30" s="46"/>
      <c r="C30" s="46">
        <f t="shared" si="5"/>
        <v>0</v>
      </c>
      <c r="D30" s="46">
        <f t="shared" si="5"/>
        <v>0</v>
      </c>
      <c r="E30" s="46">
        <f t="shared" si="5"/>
        <v>0</v>
      </c>
      <c r="F30" s="46">
        <f t="shared" si="5"/>
        <v>0</v>
      </c>
      <c r="G30" s="46">
        <f t="shared" si="5"/>
        <v>0</v>
      </c>
      <c r="H30" s="46"/>
      <c r="I30" s="24"/>
      <c r="J30" s="24"/>
      <c r="K30" s="24"/>
      <c r="L30" s="24"/>
      <c r="M30" s="24"/>
    </row>
    <row r="31" spans="1:13" ht="13.5" customHeight="1" hidden="1">
      <c r="A31" s="46"/>
      <c r="B31" s="46"/>
      <c r="C31" s="46">
        <f t="shared" si="5"/>
        <v>0</v>
      </c>
      <c r="D31" s="46">
        <f t="shared" si="5"/>
        <v>0</v>
      </c>
      <c r="E31" s="46">
        <f t="shared" si="5"/>
        <v>0</v>
      </c>
      <c r="F31" s="46">
        <f t="shared" si="5"/>
        <v>0</v>
      </c>
      <c r="G31" s="46">
        <f t="shared" si="5"/>
        <v>0</v>
      </c>
      <c r="H31" s="46"/>
      <c r="I31" s="24"/>
      <c r="J31" s="24"/>
      <c r="K31" s="24"/>
      <c r="L31" s="24"/>
      <c r="M31" s="24"/>
    </row>
    <row r="32" spans="1:13" ht="13.5" customHeight="1" hidden="1">
      <c r="A32" s="46"/>
      <c r="B32" s="46"/>
      <c r="C32" s="46">
        <f t="shared" si="5"/>
        <v>0</v>
      </c>
      <c r="D32" s="46">
        <f t="shared" si="5"/>
        <v>0</v>
      </c>
      <c r="E32" s="46">
        <f t="shared" si="5"/>
        <v>0</v>
      </c>
      <c r="F32" s="46">
        <f t="shared" si="5"/>
        <v>0</v>
      </c>
      <c r="G32" s="46">
        <f t="shared" si="5"/>
        <v>0</v>
      </c>
      <c r="H32" s="46"/>
      <c r="I32" s="24"/>
      <c r="J32" s="24"/>
      <c r="K32" s="24"/>
      <c r="L32" s="24"/>
      <c r="M32" s="24"/>
    </row>
    <row r="33" spans="1:13" ht="13.5" customHeight="1" hidden="1">
      <c r="A33" s="46"/>
      <c r="B33" s="46"/>
      <c r="C33" s="46">
        <f t="shared" si="5"/>
        <v>0</v>
      </c>
      <c r="D33" s="46">
        <f t="shared" si="5"/>
        <v>0</v>
      </c>
      <c r="E33" s="46">
        <f t="shared" si="5"/>
        <v>0</v>
      </c>
      <c r="F33" s="46">
        <f t="shared" si="5"/>
        <v>0</v>
      </c>
      <c r="G33" s="46">
        <f t="shared" si="5"/>
        <v>0</v>
      </c>
      <c r="H33" s="46"/>
      <c r="I33" s="24"/>
      <c r="J33" s="24"/>
      <c r="K33" s="24"/>
      <c r="L33" s="24"/>
      <c r="M33" s="24"/>
    </row>
    <row r="34" spans="1:13" ht="13.5" customHeight="1" hidden="1">
      <c r="A34" s="46"/>
      <c r="B34" s="46"/>
      <c r="C34" s="46">
        <f aca="true" t="shared" si="6" ref="C34:G35">IF($H$20,$I18*C$21/$H$20,0)</f>
        <v>0</v>
      </c>
      <c r="D34" s="46">
        <f t="shared" si="6"/>
        <v>0</v>
      </c>
      <c r="E34" s="46">
        <f t="shared" si="6"/>
        <v>0</v>
      </c>
      <c r="F34" s="46">
        <f t="shared" si="6"/>
        <v>0</v>
      </c>
      <c r="G34" s="46">
        <f t="shared" si="6"/>
        <v>0</v>
      </c>
      <c r="H34" s="46"/>
      <c r="I34" s="24"/>
      <c r="J34" s="24"/>
      <c r="K34" s="24"/>
      <c r="L34" s="24"/>
      <c r="M34" s="24"/>
    </row>
    <row r="35" spans="1:13" ht="13.5" customHeight="1" hidden="1">
      <c r="A35" s="46"/>
      <c r="B35" s="46"/>
      <c r="C35" s="46">
        <f t="shared" si="6"/>
        <v>0</v>
      </c>
      <c r="D35" s="46">
        <f t="shared" si="6"/>
        <v>0</v>
      </c>
      <c r="E35" s="46">
        <f t="shared" si="6"/>
        <v>0</v>
      </c>
      <c r="F35" s="46">
        <f t="shared" si="6"/>
        <v>0</v>
      </c>
      <c r="G35" s="46">
        <f t="shared" si="6"/>
        <v>0</v>
      </c>
      <c r="H35" s="46"/>
      <c r="I35" s="24"/>
      <c r="J35" s="24"/>
      <c r="K35" s="24"/>
      <c r="L35" s="24"/>
      <c r="M35" s="24"/>
    </row>
    <row r="36" spans="1:13" ht="13.5" customHeight="1" hidden="1">
      <c r="A36" s="24"/>
      <c r="B36" s="24"/>
      <c r="C36" s="46"/>
      <c r="D36" s="46"/>
      <c r="E36" s="46"/>
      <c r="F36" s="46"/>
      <c r="G36" s="46"/>
      <c r="H36" s="46"/>
      <c r="I36" s="24"/>
      <c r="J36" s="24"/>
      <c r="K36" s="24"/>
      <c r="L36" s="24"/>
      <c r="M36" s="24"/>
    </row>
    <row r="37" spans="1:13" ht="13.5" customHeight="1" hidden="1">
      <c r="A37" s="24" t="s">
        <v>15</v>
      </c>
      <c r="B37" s="24"/>
      <c r="C37" s="46">
        <f aca="true" t="shared" si="7" ref="C37:G46">IF(C26,((C10-C26)^2)/C26,0)</f>
        <v>15.772442939896338</v>
      </c>
      <c r="D37" s="46">
        <f t="shared" si="7"/>
        <v>4.023349364465113</v>
      </c>
      <c r="E37" s="46">
        <f t="shared" si="7"/>
        <v>27.729179591220806</v>
      </c>
      <c r="F37" s="46">
        <f t="shared" si="7"/>
        <v>0</v>
      </c>
      <c r="G37" s="46">
        <f t="shared" si="7"/>
        <v>0</v>
      </c>
      <c r="H37" s="46">
        <f>SUM(C37:G37)</f>
        <v>47.524971895582254</v>
      </c>
      <c r="I37" s="24"/>
      <c r="J37" s="24"/>
      <c r="K37" s="24"/>
      <c r="L37" s="24"/>
      <c r="M37" s="24"/>
    </row>
    <row r="38" spans="1:13" ht="13.5" customHeight="1" hidden="1">
      <c r="A38" s="24"/>
      <c r="B38" s="24"/>
      <c r="C38" s="46">
        <f t="shared" si="7"/>
        <v>5.5495632566302024</v>
      </c>
      <c r="D38" s="46">
        <f t="shared" si="7"/>
        <v>1.4156229245340255</v>
      </c>
      <c r="E38" s="46">
        <f t="shared" si="7"/>
        <v>9.756563189503613</v>
      </c>
      <c r="F38" s="46">
        <f t="shared" si="7"/>
        <v>0</v>
      </c>
      <c r="G38" s="46">
        <f t="shared" si="7"/>
        <v>0</v>
      </c>
      <c r="H38" s="46">
        <f aca="true" t="shared" si="8" ref="H38:H46">SUM(C38:G38)</f>
        <v>16.72174937066784</v>
      </c>
      <c r="I38" s="24"/>
      <c r="J38" s="24"/>
      <c r="K38" s="24"/>
      <c r="L38" s="24"/>
      <c r="M38" s="24"/>
    </row>
    <row r="39" spans="1:13" ht="13.5" customHeight="1" hidden="1">
      <c r="A39" s="24"/>
      <c r="B39" s="24"/>
      <c r="C39" s="46">
        <f t="shared" si="7"/>
        <v>0</v>
      </c>
      <c r="D39" s="46">
        <f t="shared" si="7"/>
        <v>0</v>
      </c>
      <c r="E39" s="46">
        <f t="shared" si="7"/>
        <v>0</v>
      </c>
      <c r="F39" s="46">
        <f t="shared" si="7"/>
        <v>0</v>
      </c>
      <c r="G39" s="46">
        <f t="shared" si="7"/>
        <v>0</v>
      </c>
      <c r="H39" s="46">
        <f t="shared" si="8"/>
        <v>0</v>
      </c>
      <c r="I39" s="24"/>
      <c r="J39" s="24"/>
      <c r="K39" s="24"/>
      <c r="L39" s="24"/>
      <c r="M39" s="24"/>
    </row>
    <row r="40" spans="1:13" ht="13.5" customHeight="1" hidden="1">
      <c r="A40" s="24"/>
      <c r="B40" s="24"/>
      <c r="C40" s="46">
        <f t="shared" si="7"/>
        <v>0</v>
      </c>
      <c r="D40" s="46">
        <f t="shared" si="7"/>
        <v>0</v>
      </c>
      <c r="E40" s="46">
        <f t="shared" si="7"/>
        <v>0</v>
      </c>
      <c r="F40" s="46">
        <f t="shared" si="7"/>
        <v>0</v>
      </c>
      <c r="G40" s="46">
        <f t="shared" si="7"/>
        <v>0</v>
      </c>
      <c r="H40" s="46">
        <f t="shared" si="8"/>
        <v>0</v>
      </c>
      <c r="I40" s="24"/>
      <c r="J40" s="24"/>
      <c r="K40" s="24"/>
      <c r="L40" s="24"/>
      <c r="M40" s="24"/>
    </row>
    <row r="41" spans="1:13" ht="13.5" customHeight="1" hidden="1">
      <c r="A41" s="24"/>
      <c r="B41" s="24"/>
      <c r="C41" s="46">
        <f t="shared" si="7"/>
        <v>0</v>
      </c>
      <c r="D41" s="46">
        <f t="shared" si="7"/>
        <v>0</v>
      </c>
      <c r="E41" s="46">
        <f t="shared" si="7"/>
        <v>0</v>
      </c>
      <c r="F41" s="46">
        <f t="shared" si="7"/>
        <v>0</v>
      </c>
      <c r="G41" s="46">
        <f t="shared" si="7"/>
        <v>0</v>
      </c>
      <c r="H41" s="46">
        <f t="shared" si="8"/>
        <v>0</v>
      </c>
      <c r="I41" s="24"/>
      <c r="J41" s="24"/>
      <c r="K41" s="24"/>
      <c r="L41" s="24"/>
      <c r="M41" s="24"/>
    </row>
    <row r="42" spans="1:13" ht="13.5" customHeight="1" hidden="1">
      <c r="A42" s="24"/>
      <c r="B42" s="24"/>
      <c r="C42" s="46">
        <f t="shared" si="7"/>
        <v>0</v>
      </c>
      <c r="D42" s="46">
        <f t="shared" si="7"/>
        <v>0</v>
      </c>
      <c r="E42" s="46">
        <f t="shared" si="7"/>
        <v>0</v>
      </c>
      <c r="F42" s="46">
        <f t="shared" si="7"/>
        <v>0</v>
      </c>
      <c r="G42" s="46">
        <f t="shared" si="7"/>
        <v>0</v>
      </c>
      <c r="H42" s="46">
        <f t="shared" si="8"/>
        <v>0</v>
      </c>
      <c r="I42" s="24"/>
      <c r="J42" s="24"/>
      <c r="K42" s="24"/>
      <c r="L42" s="24"/>
      <c r="M42" s="24"/>
    </row>
    <row r="43" spans="1:13" ht="13.5" customHeight="1" hidden="1">
      <c r="A43" s="24"/>
      <c r="B43" s="24"/>
      <c r="C43" s="46">
        <f t="shared" si="7"/>
        <v>0</v>
      </c>
      <c r="D43" s="46">
        <f t="shared" si="7"/>
        <v>0</v>
      </c>
      <c r="E43" s="46">
        <f t="shared" si="7"/>
        <v>0</v>
      </c>
      <c r="F43" s="46">
        <f t="shared" si="7"/>
        <v>0</v>
      </c>
      <c r="G43" s="46">
        <f t="shared" si="7"/>
        <v>0</v>
      </c>
      <c r="H43" s="46">
        <f t="shared" si="8"/>
        <v>0</v>
      </c>
      <c r="I43" s="24"/>
      <c r="J43" s="24"/>
      <c r="K43" s="24"/>
      <c r="L43" s="24"/>
      <c r="M43" s="24"/>
    </row>
    <row r="44" spans="1:13" ht="13.5" customHeight="1" hidden="1">
      <c r="A44" s="24"/>
      <c r="B44" s="24"/>
      <c r="C44" s="46">
        <f t="shared" si="7"/>
        <v>0</v>
      </c>
      <c r="D44" s="46">
        <f t="shared" si="7"/>
        <v>0</v>
      </c>
      <c r="E44" s="46">
        <f t="shared" si="7"/>
        <v>0</v>
      </c>
      <c r="F44" s="46">
        <f t="shared" si="7"/>
        <v>0</v>
      </c>
      <c r="G44" s="46">
        <f t="shared" si="7"/>
        <v>0</v>
      </c>
      <c r="H44" s="46">
        <f t="shared" si="8"/>
        <v>0</v>
      </c>
      <c r="I44" s="24"/>
      <c r="J44" s="24"/>
      <c r="K44" s="24"/>
      <c r="L44" s="24"/>
      <c r="M44" s="24"/>
    </row>
    <row r="45" spans="1:13" ht="13.5" customHeight="1" hidden="1">
      <c r="A45" s="24"/>
      <c r="B45" s="24"/>
      <c r="C45" s="46">
        <f t="shared" si="7"/>
        <v>0</v>
      </c>
      <c r="D45" s="46">
        <f t="shared" si="7"/>
        <v>0</v>
      </c>
      <c r="E45" s="46">
        <f t="shared" si="7"/>
        <v>0</v>
      </c>
      <c r="F45" s="46">
        <f t="shared" si="7"/>
        <v>0</v>
      </c>
      <c r="G45" s="46">
        <f t="shared" si="7"/>
        <v>0</v>
      </c>
      <c r="H45" s="46">
        <f t="shared" si="8"/>
        <v>0</v>
      </c>
      <c r="I45" s="24"/>
      <c r="J45" s="24"/>
      <c r="K45" s="24"/>
      <c r="L45" s="24"/>
      <c r="M45" s="24"/>
    </row>
    <row r="46" spans="1:13" ht="13.5" customHeight="1" hidden="1">
      <c r="A46" s="24"/>
      <c r="B46" s="24"/>
      <c r="C46" s="46">
        <f t="shared" si="7"/>
        <v>0</v>
      </c>
      <c r="D46" s="46">
        <f t="shared" si="7"/>
        <v>0</v>
      </c>
      <c r="E46" s="46">
        <f t="shared" si="7"/>
        <v>0</v>
      </c>
      <c r="F46" s="46">
        <f t="shared" si="7"/>
        <v>0</v>
      </c>
      <c r="G46" s="46">
        <f t="shared" si="7"/>
        <v>0</v>
      </c>
      <c r="H46" s="46">
        <f t="shared" si="8"/>
        <v>0</v>
      </c>
      <c r="I46" s="24"/>
      <c r="J46" s="24"/>
      <c r="K46" s="24"/>
      <c r="L46" s="24"/>
      <c r="M46" s="24"/>
    </row>
    <row r="47" spans="1:13" ht="13.5" customHeight="1" hidden="1">
      <c r="A47" s="24"/>
      <c r="B47" s="24"/>
      <c r="C47" s="46"/>
      <c r="D47" s="46"/>
      <c r="E47" s="46"/>
      <c r="F47" s="46"/>
      <c r="G47" s="46"/>
      <c r="H47" s="46">
        <f>SUM(H37:H46)</f>
        <v>64.24672126625009</v>
      </c>
      <c r="I47" s="24"/>
      <c r="J47" s="24"/>
      <c r="K47" s="24"/>
      <c r="L47" s="24"/>
      <c r="M47" s="24"/>
    </row>
    <row r="48" spans="1:13" ht="13.5" customHeight="1" hidden="1">
      <c r="A48" s="24"/>
      <c r="B48" s="24"/>
      <c r="C48" s="46"/>
      <c r="D48" s="46"/>
      <c r="E48" s="46"/>
      <c r="F48" s="46"/>
      <c r="G48" s="46"/>
      <c r="H48" s="46"/>
      <c r="I48" s="24"/>
      <c r="J48" s="24"/>
      <c r="K48" s="24"/>
      <c r="L48" s="24"/>
      <c r="M48" s="24"/>
    </row>
    <row r="49" spans="1:13" ht="13.5" customHeight="1" hidden="1">
      <c r="A49" s="24" t="s">
        <v>96</v>
      </c>
      <c r="B49" s="24"/>
      <c r="C49" s="46">
        <f aca="true" t="shared" si="9" ref="C49:G56">C$8*$A10*C10</f>
        <v>266</v>
      </c>
      <c r="D49" s="46">
        <f t="shared" si="9"/>
        <v>790</v>
      </c>
      <c r="E49" s="46">
        <f t="shared" si="9"/>
        <v>240</v>
      </c>
      <c r="F49" s="46">
        <f t="shared" si="9"/>
        <v>0</v>
      </c>
      <c r="G49" s="46">
        <f t="shared" si="9"/>
        <v>0</v>
      </c>
      <c r="H49" s="46">
        <f>SUM(C49:G49)</f>
        <v>1296</v>
      </c>
      <c r="I49" s="24"/>
      <c r="J49" s="24"/>
      <c r="K49" s="24"/>
      <c r="L49" s="24"/>
      <c r="M49" s="24"/>
    </row>
    <row r="50" spans="1:13" ht="13.5" customHeight="1" hidden="1">
      <c r="A50" s="24"/>
      <c r="B50" s="24"/>
      <c r="C50" s="46">
        <f t="shared" si="9"/>
        <v>2074</v>
      </c>
      <c r="D50" s="46">
        <f t="shared" si="9"/>
        <v>3908</v>
      </c>
      <c r="E50" s="46">
        <f t="shared" si="9"/>
        <v>552</v>
      </c>
      <c r="F50" s="46">
        <f t="shared" si="9"/>
        <v>0</v>
      </c>
      <c r="G50" s="46">
        <f t="shared" si="9"/>
        <v>0</v>
      </c>
      <c r="H50" s="46">
        <f aca="true" t="shared" si="10" ref="H50:H58">SUM(C50:G50)</f>
        <v>6534</v>
      </c>
      <c r="I50" s="24"/>
      <c r="J50" s="24"/>
      <c r="K50" s="24"/>
      <c r="L50" s="24"/>
      <c r="M50" s="24"/>
    </row>
    <row r="51" spans="1:13" ht="13.5" customHeight="1" hidden="1">
      <c r="A51" s="24"/>
      <c r="B51" s="24"/>
      <c r="C51" s="46">
        <f t="shared" si="9"/>
        <v>0</v>
      </c>
      <c r="D51" s="46">
        <f t="shared" si="9"/>
        <v>0</v>
      </c>
      <c r="E51" s="46">
        <f t="shared" si="9"/>
        <v>0</v>
      </c>
      <c r="F51" s="46">
        <f t="shared" si="9"/>
        <v>0</v>
      </c>
      <c r="G51" s="46">
        <f t="shared" si="9"/>
        <v>0</v>
      </c>
      <c r="H51" s="46">
        <f t="shared" si="10"/>
        <v>0</v>
      </c>
      <c r="I51" s="24"/>
      <c r="J51" s="24"/>
      <c r="K51" s="24"/>
      <c r="L51" s="24"/>
      <c r="M51" s="24"/>
    </row>
    <row r="52" spans="1:13" ht="13.5" customHeight="1" hidden="1">
      <c r="A52" s="24"/>
      <c r="B52" s="24"/>
      <c r="C52" s="46">
        <f t="shared" si="9"/>
        <v>0</v>
      </c>
      <c r="D52" s="46">
        <f t="shared" si="9"/>
        <v>0</v>
      </c>
      <c r="E52" s="46">
        <f t="shared" si="9"/>
        <v>0</v>
      </c>
      <c r="F52" s="46">
        <f t="shared" si="9"/>
        <v>0</v>
      </c>
      <c r="G52" s="46">
        <f t="shared" si="9"/>
        <v>0</v>
      </c>
      <c r="H52" s="46">
        <f t="shared" si="10"/>
        <v>0</v>
      </c>
      <c r="I52" s="24"/>
      <c r="J52" s="24"/>
      <c r="K52" s="24"/>
      <c r="L52" s="24"/>
      <c r="M52" s="24"/>
    </row>
    <row r="53" spans="1:13" ht="13.5" customHeight="1" hidden="1">
      <c r="A53" s="24"/>
      <c r="B53" s="24"/>
      <c r="C53" s="46">
        <f t="shared" si="9"/>
        <v>0</v>
      </c>
      <c r="D53" s="46">
        <f t="shared" si="9"/>
        <v>0</v>
      </c>
      <c r="E53" s="46">
        <f t="shared" si="9"/>
        <v>0</v>
      </c>
      <c r="F53" s="46">
        <f t="shared" si="9"/>
        <v>0</v>
      </c>
      <c r="G53" s="46">
        <f t="shared" si="9"/>
        <v>0</v>
      </c>
      <c r="H53" s="46">
        <f t="shared" si="10"/>
        <v>0</v>
      </c>
      <c r="I53" s="24"/>
      <c r="J53" s="24"/>
      <c r="K53" s="24"/>
      <c r="L53" s="24"/>
      <c r="M53" s="24"/>
    </row>
    <row r="54" spans="1:13" ht="13.5" customHeight="1" hidden="1">
      <c r="A54" s="24"/>
      <c r="B54" s="24"/>
      <c r="C54" s="46">
        <f t="shared" si="9"/>
        <v>0</v>
      </c>
      <c r="D54" s="46">
        <f t="shared" si="9"/>
        <v>0</v>
      </c>
      <c r="E54" s="46">
        <f t="shared" si="9"/>
        <v>0</v>
      </c>
      <c r="F54" s="46">
        <f t="shared" si="9"/>
        <v>0</v>
      </c>
      <c r="G54" s="46">
        <f t="shared" si="9"/>
        <v>0</v>
      </c>
      <c r="H54" s="46">
        <f t="shared" si="10"/>
        <v>0</v>
      </c>
      <c r="I54" s="24"/>
      <c r="J54" s="24"/>
      <c r="K54" s="24"/>
      <c r="L54" s="24"/>
      <c r="M54" s="24"/>
    </row>
    <row r="55" spans="1:13" ht="13.5" customHeight="1" hidden="1">
      <c r="A55" s="24"/>
      <c r="B55" s="24"/>
      <c r="C55" s="46">
        <f t="shared" si="9"/>
        <v>0</v>
      </c>
      <c r="D55" s="46">
        <f t="shared" si="9"/>
        <v>0</v>
      </c>
      <c r="E55" s="46">
        <f t="shared" si="9"/>
        <v>0</v>
      </c>
      <c r="F55" s="46">
        <f t="shared" si="9"/>
        <v>0</v>
      </c>
      <c r="G55" s="46">
        <f t="shared" si="9"/>
        <v>0</v>
      </c>
      <c r="H55" s="46">
        <f t="shared" si="10"/>
        <v>0</v>
      </c>
      <c r="I55" s="24"/>
      <c r="J55" s="24"/>
      <c r="K55" s="24"/>
      <c r="L55" s="24"/>
      <c r="M55" s="24"/>
    </row>
    <row r="56" spans="1:13" ht="13.5" customHeight="1" hidden="1">
      <c r="A56" s="24"/>
      <c r="B56" s="24"/>
      <c r="C56" s="46">
        <f t="shared" si="9"/>
        <v>0</v>
      </c>
      <c r="D56" s="46">
        <f t="shared" si="9"/>
        <v>0</v>
      </c>
      <c r="E56" s="46">
        <f t="shared" si="9"/>
        <v>0</v>
      </c>
      <c r="F56" s="46">
        <f t="shared" si="9"/>
        <v>0</v>
      </c>
      <c r="G56" s="46">
        <f t="shared" si="9"/>
        <v>0</v>
      </c>
      <c r="H56" s="46">
        <f t="shared" si="10"/>
        <v>0</v>
      </c>
      <c r="I56" s="24"/>
      <c r="J56" s="24"/>
      <c r="K56" s="24"/>
      <c r="L56" s="24"/>
      <c r="M56" s="24"/>
    </row>
    <row r="57" spans="1:13" ht="13.5" customHeight="1" hidden="1">
      <c r="A57" s="24"/>
      <c r="B57" s="24"/>
      <c r="C57" s="46">
        <f aca="true" t="shared" si="11" ref="C57:G58">C$8*$A18*C18</f>
        <v>0</v>
      </c>
      <c r="D57" s="46">
        <f t="shared" si="11"/>
        <v>0</v>
      </c>
      <c r="E57" s="46">
        <f t="shared" si="11"/>
        <v>0</v>
      </c>
      <c r="F57" s="46">
        <f t="shared" si="11"/>
        <v>0</v>
      </c>
      <c r="G57" s="46">
        <f t="shared" si="11"/>
        <v>0</v>
      </c>
      <c r="H57" s="46">
        <f t="shared" si="10"/>
        <v>0</v>
      </c>
      <c r="I57" s="24"/>
      <c r="J57" s="24"/>
      <c r="K57" s="24"/>
      <c r="L57" s="24"/>
      <c r="M57" s="24"/>
    </row>
    <row r="58" spans="1:13" ht="13.5" customHeight="1" hidden="1">
      <c r="A58" s="24"/>
      <c r="B58" s="24"/>
      <c r="C58" s="46">
        <f t="shared" si="11"/>
        <v>0</v>
      </c>
      <c r="D58" s="46">
        <f t="shared" si="11"/>
        <v>0</v>
      </c>
      <c r="E58" s="46">
        <f t="shared" si="11"/>
        <v>0</v>
      </c>
      <c r="F58" s="46">
        <f t="shared" si="11"/>
        <v>0</v>
      </c>
      <c r="G58" s="46">
        <f t="shared" si="11"/>
        <v>0</v>
      </c>
      <c r="H58" s="46">
        <f t="shared" si="10"/>
        <v>0</v>
      </c>
      <c r="I58" s="24"/>
      <c r="J58" s="24"/>
      <c r="K58" s="24"/>
      <c r="L58" s="24"/>
      <c r="M58" s="24"/>
    </row>
    <row r="59" spans="1:13" ht="13.5" customHeight="1" hidden="1">
      <c r="A59" s="24"/>
      <c r="B59" s="24"/>
      <c r="C59" s="46"/>
      <c r="D59" s="46"/>
      <c r="E59" s="46"/>
      <c r="F59" s="46"/>
      <c r="G59" s="46"/>
      <c r="H59" s="46">
        <f>SUM(H49:H58)</f>
        <v>7830</v>
      </c>
      <c r="I59" s="24"/>
      <c r="J59" s="24"/>
      <c r="K59" s="24"/>
      <c r="L59" s="24"/>
      <c r="M59" s="24"/>
    </row>
    <row r="60" spans="1:13" ht="13.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</row>
    <row r="61" spans="1:13" ht="13.5" customHeight="1">
      <c r="A61" s="468"/>
      <c r="B61" s="466"/>
      <c r="C61" s="26" t="s">
        <v>15</v>
      </c>
      <c r="D61" s="28" t="s">
        <v>52</v>
      </c>
      <c r="E61" s="29" t="s">
        <v>29</v>
      </c>
      <c r="F61" s="24"/>
      <c r="G61" s="40"/>
      <c r="H61" s="24"/>
      <c r="I61" s="24"/>
      <c r="J61" s="24"/>
      <c r="K61" s="24"/>
      <c r="L61" s="24"/>
      <c r="M61" s="24"/>
    </row>
    <row r="62" spans="1:13" ht="13.5" customHeight="1">
      <c r="A62" s="501" t="s">
        <v>97</v>
      </c>
      <c r="B62" s="503"/>
      <c r="C62" s="119">
        <f>H47</f>
        <v>64.24672126625009</v>
      </c>
      <c r="D62" s="120">
        <f>(J20-1)*(H22-1)</f>
        <v>2</v>
      </c>
      <c r="E62" s="121">
        <f>CHIDIST(C62,D62)</f>
        <v>1.1194423604178381E-14</v>
      </c>
      <c r="F62" s="24"/>
      <c r="G62" s="24"/>
      <c r="H62" s="24"/>
      <c r="I62" s="24"/>
      <c r="J62" s="24"/>
      <c r="K62" s="24"/>
      <c r="L62" s="24"/>
      <c r="M62" s="24"/>
    </row>
    <row r="63" spans="1:13" ht="13.5" customHeight="1">
      <c r="A63" s="501" t="s">
        <v>98</v>
      </c>
      <c r="B63" s="503"/>
      <c r="C63" s="122">
        <f>H20*((H59-H23*K20/H20)^2)/((L20-K20^2/H20)*(H24-H23^2/H20))</f>
        <v>59.46968426394808</v>
      </c>
      <c r="D63" s="120">
        <f>IF(D62&gt;1,1,"")</f>
        <v>1</v>
      </c>
      <c r="E63" s="121">
        <f>IF(D62&gt;1,CHIDIST(C63,D63),"")</f>
        <v>1.2419262041021006E-14</v>
      </c>
      <c r="F63" s="501" t="s">
        <v>103</v>
      </c>
      <c r="G63" s="502"/>
      <c r="H63" s="502"/>
      <c r="I63" s="24"/>
      <c r="J63" s="24"/>
      <c r="K63" s="24"/>
      <c r="L63" s="24"/>
      <c r="M63" s="24"/>
    </row>
    <row r="64" spans="1:13" ht="13.5" customHeight="1">
      <c r="A64" s="499" t="s">
        <v>91</v>
      </c>
      <c r="B64" s="500"/>
      <c r="C64" s="123">
        <f>C62-C63</f>
        <v>4.777037002302009</v>
      </c>
      <c r="D64" s="124">
        <f>IF(D62&gt;1,D62-1,"")</f>
        <v>1</v>
      </c>
      <c r="E64" s="56">
        <f>IF(D62&gt;1,CHIDIST(C64,D64),"")</f>
        <v>0.028841708574920497</v>
      </c>
      <c r="F64" s="125" t="s">
        <v>102</v>
      </c>
      <c r="G64" s="126"/>
      <c r="H64" s="126"/>
      <c r="I64" s="24"/>
      <c r="J64" s="24"/>
      <c r="K64" s="24"/>
      <c r="L64" s="24"/>
      <c r="M64" s="24"/>
    </row>
    <row r="65" spans="1:13" ht="13.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</row>
    <row r="66" spans="1:13" ht="13.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</row>
    <row r="67" spans="1:13" ht="13.5" customHeight="1">
      <c r="A67" s="24" t="s">
        <v>215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</row>
    <row r="68" spans="1:13" ht="13.5" customHeight="1">
      <c r="A68" s="24" t="s">
        <v>100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</row>
    <row r="69" spans="1:13" ht="13.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</row>
  </sheetData>
  <sheetProtection sheet="1" objects="1" scenarios="1"/>
  <mergeCells count="9">
    <mergeCell ref="H1:H2"/>
    <mergeCell ref="A64:B64"/>
    <mergeCell ref="F63:H63"/>
    <mergeCell ref="A61:B61"/>
    <mergeCell ref="A62:B62"/>
    <mergeCell ref="A63:B63"/>
    <mergeCell ref="A5:G5"/>
    <mergeCell ref="A6:G6"/>
    <mergeCell ref="A8:A9"/>
  </mergeCells>
  <hyperlinks>
    <hyperlink ref="H1:H2" location="Start!A1" display="Start"/>
  </hyperlinks>
  <printOptions/>
  <pageMargins left="0.75" right="0.75" top="1" bottom="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"/>
  <dimension ref="A1:I41"/>
  <sheetViews>
    <sheetView workbookViewId="0" topLeftCell="A1">
      <selection activeCell="I1" sqref="I1:I2"/>
    </sheetView>
  </sheetViews>
  <sheetFormatPr defaultColWidth="9.140625" defaultRowHeight="12.75"/>
  <cols>
    <col min="1" max="1" width="14.00390625" style="0" customWidth="1"/>
    <col min="5" max="5" width="5.28125" style="0" customWidth="1"/>
    <col min="6" max="9" width="8.7109375" style="0" customWidth="1"/>
  </cols>
  <sheetData>
    <row r="1" spans="1:9" ht="12" customHeight="1">
      <c r="A1" s="7" t="s">
        <v>207</v>
      </c>
      <c r="B1" s="403" t="s">
        <v>208</v>
      </c>
      <c r="C1" s="403"/>
      <c r="I1" s="470" t="s">
        <v>218</v>
      </c>
    </row>
    <row r="2" spans="8:9" ht="12" customHeight="1">
      <c r="H2" s="308"/>
      <c r="I2" s="471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2" customHeight="1">
      <c r="A4" s="24"/>
      <c r="B4" s="24"/>
      <c r="C4" s="24"/>
      <c r="D4" s="24"/>
      <c r="E4" s="24"/>
      <c r="F4" s="24"/>
      <c r="G4" s="24"/>
      <c r="H4" s="24"/>
    </row>
    <row r="5" spans="1:9" ht="12" customHeight="1">
      <c r="A5" s="24"/>
      <c r="B5" s="511" t="s">
        <v>72</v>
      </c>
      <c r="C5" s="511"/>
      <c r="D5" s="511"/>
      <c r="F5" s="511" t="s">
        <v>158</v>
      </c>
      <c r="G5" s="511"/>
      <c r="H5" s="511"/>
      <c r="I5" s="511"/>
    </row>
    <row r="6" spans="1:8" ht="12" customHeight="1">
      <c r="A6" s="24"/>
      <c r="B6" s="24"/>
      <c r="C6" s="24"/>
      <c r="D6" s="24"/>
      <c r="E6" s="24"/>
      <c r="F6" s="316"/>
      <c r="G6" s="316"/>
      <c r="H6" s="40"/>
    </row>
    <row r="7" spans="1:8" ht="12" customHeight="1">
      <c r="A7" s="264" t="s">
        <v>73</v>
      </c>
      <c r="B7" s="265" t="s">
        <v>49</v>
      </c>
      <c r="C7" s="265" t="s">
        <v>29</v>
      </c>
      <c r="D7" s="24"/>
      <c r="E7" s="24"/>
      <c r="F7" s="26" t="s">
        <v>29</v>
      </c>
      <c r="G7" s="27" t="s">
        <v>49</v>
      </c>
      <c r="H7" s="49"/>
    </row>
    <row r="8" spans="1:8" ht="12" customHeight="1">
      <c r="A8" s="24"/>
      <c r="B8" s="266">
        <v>1.96</v>
      </c>
      <c r="C8" s="267">
        <f aca="true" t="shared" si="0" ref="C8:C15">IF(B8,2*(1-NORMSDIST(ABS(B8))),"")</f>
        <v>0.049995790296440745</v>
      </c>
      <c r="D8" s="24"/>
      <c r="E8" s="24"/>
      <c r="F8" s="268">
        <v>0.05</v>
      </c>
      <c r="G8" s="269">
        <f aca="true" t="shared" si="1" ref="G8:G15">IF(F8,NORMSINV(1-F8/2),"")</f>
        <v>1.959963984540054</v>
      </c>
      <c r="H8" s="46"/>
    </row>
    <row r="9" spans="1:8" ht="12" customHeight="1">
      <c r="A9" s="24"/>
      <c r="B9" s="270"/>
      <c r="C9" s="267">
        <f t="shared" si="0"/>
      </c>
      <c r="D9" s="24"/>
      <c r="E9" s="24"/>
      <c r="F9" s="271">
        <v>0.1</v>
      </c>
      <c r="G9" s="272">
        <f t="shared" si="1"/>
        <v>1.6448536269514724</v>
      </c>
      <c r="H9" s="46"/>
    </row>
    <row r="10" spans="1:8" ht="12" customHeight="1">
      <c r="A10" s="24"/>
      <c r="B10" s="270"/>
      <c r="C10" s="267">
        <f t="shared" si="0"/>
      </c>
      <c r="D10" s="24"/>
      <c r="E10" s="24"/>
      <c r="F10" s="271">
        <v>0.2</v>
      </c>
      <c r="G10" s="272">
        <f t="shared" si="1"/>
        <v>1.2815515655446004</v>
      </c>
      <c r="H10" s="46"/>
    </row>
    <row r="11" spans="1:8" ht="12" customHeight="1">
      <c r="A11" s="24"/>
      <c r="B11" s="270"/>
      <c r="C11" s="267">
        <f t="shared" si="0"/>
      </c>
      <c r="D11" s="24"/>
      <c r="E11" s="24"/>
      <c r="F11" s="271"/>
      <c r="G11" s="272">
        <f t="shared" si="1"/>
      </c>
      <c r="H11" s="46"/>
    </row>
    <row r="12" spans="1:8" ht="12" customHeight="1">
      <c r="A12" s="24"/>
      <c r="B12" s="270"/>
      <c r="C12" s="267">
        <f t="shared" si="0"/>
      </c>
      <c r="D12" s="24"/>
      <c r="E12" s="24"/>
      <c r="F12" s="271"/>
      <c r="G12" s="272">
        <f t="shared" si="1"/>
      </c>
      <c r="H12" s="46"/>
    </row>
    <row r="13" spans="1:8" ht="12" customHeight="1">
      <c r="A13" s="24"/>
      <c r="B13" s="270"/>
      <c r="C13" s="267">
        <f t="shared" si="0"/>
      </c>
      <c r="D13" s="24"/>
      <c r="E13" s="24"/>
      <c r="F13" s="271"/>
      <c r="G13" s="272">
        <f t="shared" si="1"/>
      </c>
      <c r="H13" s="46"/>
    </row>
    <row r="14" spans="1:8" ht="12" customHeight="1">
      <c r="A14" s="24"/>
      <c r="B14" s="270"/>
      <c r="C14" s="267">
        <f t="shared" si="0"/>
      </c>
      <c r="D14" s="24"/>
      <c r="E14" s="24"/>
      <c r="F14" s="273"/>
      <c r="G14" s="272">
        <f t="shared" si="1"/>
      </c>
      <c r="H14" s="46"/>
    </row>
    <row r="15" spans="1:8" ht="12" customHeight="1">
      <c r="A15" s="24"/>
      <c r="B15" s="274"/>
      <c r="C15" s="275">
        <f t="shared" si="0"/>
      </c>
      <c r="D15" s="24"/>
      <c r="E15" s="24"/>
      <c r="F15" s="276"/>
      <c r="G15" s="277">
        <f t="shared" si="1"/>
      </c>
      <c r="H15" s="46"/>
    </row>
    <row r="16" spans="1:8" ht="12" customHeight="1">
      <c r="A16" s="24"/>
      <c r="B16" s="24"/>
      <c r="C16" s="24"/>
      <c r="D16" s="24"/>
      <c r="E16" s="24"/>
      <c r="F16" s="46"/>
      <c r="G16" s="46"/>
      <c r="H16" s="46"/>
    </row>
    <row r="17" spans="1:8" ht="12" customHeight="1">
      <c r="A17" s="24"/>
      <c r="B17" s="24"/>
      <c r="C17" s="24"/>
      <c r="D17" s="24"/>
      <c r="E17" s="24"/>
      <c r="F17" s="46"/>
      <c r="G17" s="46"/>
      <c r="H17" s="46"/>
    </row>
    <row r="18" spans="1:8" ht="12" customHeight="1">
      <c r="A18" s="264" t="s">
        <v>74</v>
      </c>
      <c r="B18" s="27" t="s">
        <v>71</v>
      </c>
      <c r="C18" s="27" t="s">
        <v>160</v>
      </c>
      <c r="D18" s="27" t="s">
        <v>29</v>
      </c>
      <c r="E18" s="24"/>
      <c r="F18" s="26" t="s">
        <v>29</v>
      </c>
      <c r="G18" s="27" t="s">
        <v>160</v>
      </c>
      <c r="H18" s="29" t="s">
        <v>71</v>
      </c>
    </row>
    <row r="19" spans="1:8" ht="12" customHeight="1">
      <c r="A19" s="24"/>
      <c r="B19" s="266">
        <v>1.96</v>
      </c>
      <c r="C19" s="313">
        <v>2</v>
      </c>
      <c r="D19" s="269">
        <f aca="true" t="shared" si="2" ref="D19:D26">IF(B19,TDIST(B19,C19,2),"")</f>
        <v>0.18905730955298058</v>
      </c>
      <c r="E19" s="24"/>
      <c r="F19" s="268">
        <v>0.05</v>
      </c>
      <c r="G19" s="266">
        <v>20</v>
      </c>
      <c r="H19" s="278">
        <f aca="true" t="shared" si="3" ref="H19:H26">IF(F19,TINV(F19,G19),"")</f>
        <v>2.085963441295542</v>
      </c>
    </row>
    <row r="20" spans="1:8" ht="12" customHeight="1">
      <c r="A20" s="24"/>
      <c r="B20" s="270">
        <v>2.53</v>
      </c>
      <c r="C20" s="314">
        <v>3</v>
      </c>
      <c r="D20" s="269">
        <f t="shared" si="2"/>
        <v>0.08542411927230632</v>
      </c>
      <c r="E20" s="24"/>
      <c r="F20" s="271">
        <v>0.05</v>
      </c>
      <c r="G20" s="270">
        <v>1000</v>
      </c>
      <c r="H20" s="279">
        <f t="shared" si="3"/>
        <v>1.962339036130519</v>
      </c>
    </row>
    <row r="21" spans="1:8" ht="12" customHeight="1">
      <c r="A21" s="24"/>
      <c r="B21" s="270">
        <v>1.96</v>
      </c>
      <c r="C21" s="314">
        <v>1000</v>
      </c>
      <c r="D21" s="269">
        <f t="shared" si="2"/>
        <v>0.050273179622053</v>
      </c>
      <c r="E21" s="24"/>
      <c r="F21" s="273"/>
      <c r="G21" s="270"/>
      <c r="H21" s="279">
        <f t="shared" si="3"/>
      </c>
    </row>
    <row r="22" spans="1:8" ht="12" customHeight="1">
      <c r="A22" s="24"/>
      <c r="B22" s="270"/>
      <c r="C22" s="314"/>
      <c r="D22" s="269">
        <f t="shared" si="2"/>
      </c>
      <c r="E22" s="24"/>
      <c r="F22" s="273"/>
      <c r="G22" s="270"/>
      <c r="H22" s="279">
        <f t="shared" si="3"/>
      </c>
    </row>
    <row r="23" spans="1:8" ht="12" customHeight="1">
      <c r="A23" s="24"/>
      <c r="B23" s="270"/>
      <c r="C23" s="314"/>
      <c r="D23" s="269">
        <f t="shared" si="2"/>
      </c>
      <c r="E23" s="24"/>
      <c r="F23" s="273"/>
      <c r="G23" s="270"/>
      <c r="H23" s="279">
        <f t="shared" si="3"/>
      </c>
    </row>
    <row r="24" spans="1:8" ht="12" customHeight="1">
      <c r="A24" s="24"/>
      <c r="B24" s="270"/>
      <c r="C24" s="314"/>
      <c r="D24" s="269">
        <f t="shared" si="2"/>
      </c>
      <c r="E24" s="24"/>
      <c r="F24" s="273"/>
      <c r="G24" s="270"/>
      <c r="H24" s="279">
        <f t="shared" si="3"/>
      </c>
    </row>
    <row r="25" spans="1:8" ht="12" customHeight="1">
      <c r="A25" s="24"/>
      <c r="B25" s="270"/>
      <c r="C25" s="314"/>
      <c r="D25" s="269">
        <f t="shared" si="2"/>
      </c>
      <c r="E25" s="24"/>
      <c r="F25" s="273"/>
      <c r="G25" s="270"/>
      <c r="H25" s="279">
        <f t="shared" si="3"/>
      </c>
    </row>
    <row r="26" spans="1:8" ht="12" customHeight="1">
      <c r="A26" s="24"/>
      <c r="B26" s="274"/>
      <c r="C26" s="315"/>
      <c r="D26" s="43">
        <f t="shared" si="2"/>
      </c>
      <c r="E26" s="24"/>
      <c r="F26" s="276"/>
      <c r="G26" s="274"/>
      <c r="H26" s="280">
        <f t="shared" si="3"/>
      </c>
    </row>
    <row r="27" spans="1:8" ht="12" customHeight="1">
      <c r="A27" s="24"/>
      <c r="B27" s="24"/>
      <c r="C27" s="24"/>
      <c r="D27" s="24"/>
      <c r="E27" s="24"/>
      <c r="F27" s="46"/>
      <c r="G27" s="46"/>
      <c r="H27" s="46"/>
    </row>
    <row r="28" spans="1:8" ht="12" customHeight="1">
      <c r="A28" s="24"/>
      <c r="B28" s="24"/>
      <c r="C28" s="24"/>
      <c r="D28" s="24"/>
      <c r="E28" s="24"/>
      <c r="F28" s="46"/>
      <c r="G28" s="46"/>
      <c r="H28" s="46"/>
    </row>
    <row r="29" spans="1:8" ht="12" customHeight="1">
      <c r="A29" s="281" t="s">
        <v>131</v>
      </c>
      <c r="B29" s="282" t="s">
        <v>132</v>
      </c>
      <c r="C29" s="27" t="s">
        <v>160</v>
      </c>
      <c r="D29" s="27" t="s">
        <v>29</v>
      </c>
      <c r="E29" s="24"/>
      <c r="F29" s="26" t="s">
        <v>29</v>
      </c>
      <c r="G29" s="27" t="s">
        <v>160</v>
      </c>
      <c r="H29" s="283" t="s">
        <v>132</v>
      </c>
    </row>
    <row r="30" spans="1:8" ht="12" customHeight="1">
      <c r="A30" s="24"/>
      <c r="B30" s="284">
        <v>3.84</v>
      </c>
      <c r="C30" s="285">
        <v>1</v>
      </c>
      <c r="D30" s="286">
        <f aca="true" t="shared" si="4" ref="D30:D37">IF(B30,CHIDIST(B30,C30),"")</f>
        <v>0.05004353108939516</v>
      </c>
      <c r="E30" s="24"/>
      <c r="F30" s="287">
        <v>0.05</v>
      </c>
      <c r="G30" s="285">
        <v>1</v>
      </c>
      <c r="H30" s="286">
        <f aca="true" t="shared" si="5" ref="H30:H37">IF(F30,CHIINV(F30,G30),"")</f>
        <v>3.841459149489757</v>
      </c>
    </row>
    <row r="31" spans="1:8" ht="12" customHeight="1">
      <c r="A31" s="24"/>
      <c r="B31" s="273">
        <v>24.77</v>
      </c>
      <c r="C31" s="270">
        <v>17</v>
      </c>
      <c r="D31" s="272">
        <f t="shared" si="4"/>
        <v>0.09997739675184711</v>
      </c>
      <c r="E31" s="24"/>
      <c r="F31" s="273">
        <v>0.05</v>
      </c>
      <c r="G31" s="270">
        <v>1</v>
      </c>
      <c r="H31" s="272">
        <f t="shared" si="5"/>
        <v>3.841459149489757</v>
      </c>
    </row>
    <row r="32" spans="1:8" ht="12" customHeight="1">
      <c r="A32" s="24"/>
      <c r="B32" s="273"/>
      <c r="C32" s="270"/>
      <c r="D32" s="272">
        <f t="shared" si="4"/>
      </c>
      <c r="E32" s="24"/>
      <c r="F32" s="273">
        <v>0.1</v>
      </c>
      <c r="G32" s="270">
        <v>17</v>
      </c>
      <c r="H32" s="272">
        <f t="shared" si="5"/>
        <v>24.769035347954848</v>
      </c>
    </row>
    <row r="33" spans="1:8" ht="12" customHeight="1">
      <c r="A33" s="24"/>
      <c r="B33" s="273"/>
      <c r="C33" s="270"/>
      <c r="D33" s="272">
        <f t="shared" si="4"/>
      </c>
      <c r="E33" s="24"/>
      <c r="F33" s="273"/>
      <c r="G33" s="270"/>
      <c r="H33" s="272">
        <f t="shared" si="5"/>
      </c>
    </row>
    <row r="34" spans="1:8" ht="12" customHeight="1">
      <c r="A34" s="24"/>
      <c r="B34" s="273"/>
      <c r="C34" s="270"/>
      <c r="D34" s="272">
        <f t="shared" si="4"/>
      </c>
      <c r="E34" s="24"/>
      <c r="F34" s="273"/>
      <c r="G34" s="270"/>
      <c r="H34" s="272">
        <f t="shared" si="5"/>
      </c>
    </row>
    <row r="35" spans="1:8" ht="12" customHeight="1">
      <c r="A35" s="24"/>
      <c r="B35" s="273"/>
      <c r="C35" s="270"/>
      <c r="D35" s="272">
        <f t="shared" si="4"/>
      </c>
      <c r="E35" s="24"/>
      <c r="F35" s="273"/>
      <c r="G35" s="270"/>
      <c r="H35" s="272">
        <f t="shared" si="5"/>
      </c>
    </row>
    <row r="36" spans="1:8" ht="12" customHeight="1">
      <c r="A36" s="24"/>
      <c r="B36" s="273"/>
      <c r="C36" s="270"/>
      <c r="D36" s="272">
        <f t="shared" si="4"/>
      </c>
      <c r="E36" s="24"/>
      <c r="F36" s="273"/>
      <c r="G36" s="270"/>
      <c r="H36" s="272">
        <f t="shared" si="5"/>
      </c>
    </row>
    <row r="37" spans="1:8" ht="12" customHeight="1">
      <c r="A37" s="24"/>
      <c r="B37" s="276"/>
      <c r="C37" s="274"/>
      <c r="D37" s="277">
        <f t="shared" si="4"/>
      </c>
      <c r="E37" s="24"/>
      <c r="F37" s="276"/>
      <c r="G37" s="274"/>
      <c r="H37" s="277">
        <f t="shared" si="5"/>
      </c>
    </row>
    <row r="38" spans="1:8" ht="12" customHeight="1">
      <c r="A38" s="24"/>
      <c r="B38" s="24"/>
      <c r="C38" s="24"/>
      <c r="D38" s="24"/>
      <c r="E38" s="24"/>
      <c r="F38" s="24"/>
      <c r="G38" s="24"/>
      <c r="H38" s="24"/>
    </row>
    <row r="40" spans="1:9" ht="12.75">
      <c r="A40" s="317" t="s">
        <v>161</v>
      </c>
      <c r="B40" s="510" t="s">
        <v>162</v>
      </c>
      <c r="C40" s="510"/>
      <c r="D40" s="510"/>
      <c r="E40" s="510"/>
      <c r="F40" s="510"/>
      <c r="G40" s="510"/>
      <c r="H40" s="510"/>
      <c r="I40" s="510"/>
    </row>
    <row r="41" spans="1:9" ht="12.75">
      <c r="A41" s="318"/>
      <c r="B41" s="510" t="s">
        <v>159</v>
      </c>
      <c r="C41" s="510"/>
      <c r="D41" s="510"/>
      <c r="E41" s="510"/>
      <c r="F41" s="510"/>
      <c r="G41" s="510"/>
      <c r="H41" s="510"/>
      <c r="I41" s="510"/>
    </row>
  </sheetData>
  <sheetProtection sheet="1" objects="1" scenarios="1"/>
  <mergeCells count="6">
    <mergeCell ref="B1:C1"/>
    <mergeCell ref="B40:I40"/>
    <mergeCell ref="B41:I41"/>
    <mergeCell ref="B5:D5"/>
    <mergeCell ref="F5:I5"/>
    <mergeCell ref="I1:I2"/>
  </mergeCells>
  <hyperlinks>
    <hyperlink ref="I1:I2" location="Start!A1" display="Start"/>
  </hyperlink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A1" sqref="A1"/>
    </sheetView>
  </sheetViews>
  <sheetFormatPr defaultColWidth="9.140625" defaultRowHeight="12.75"/>
  <cols>
    <col min="1" max="9" width="8.7109375" style="0" customWidth="1"/>
  </cols>
  <sheetData>
    <row r="1" spans="1:9" ht="12.75">
      <c r="A1" s="7" t="s">
        <v>167</v>
      </c>
      <c r="B1" s="469" t="s">
        <v>169</v>
      </c>
      <c r="C1" s="469"/>
      <c r="D1" s="469"/>
      <c r="E1" s="469"/>
      <c r="F1" s="469"/>
      <c r="G1" s="24"/>
      <c r="H1" s="24"/>
      <c r="I1" s="470" t="s">
        <v>218</v>
      </c>
    </row>
    <row r="2" spans="1:9" ht="12.75">
      <c r="A2" s="24"/>
      <c r="B2" s="24"/>
      <c r="C2" s="24"/>
      <c r="D2" s="24"/>
      <c r="E2" s="24"/>
      <c r="F2" s="24"/>
      <c r="G2" s="24"/>
      <c r="H2" s="24"/>
      <c r="I2" s="471"/>
    </row>
    <row r="3" spans="1:7" ht="12.75">
      <c r="A3" s="24"/>
      <c r="B3" s="24"/>
      <c r="C3" s="24"/>
      <c r="D3" s="24"/>
      <c r="E3" s="24"/>
      <c r="F3" s="24"/>
      <c r="G3" s="24"/>
    </row>
    <row r="4" spans="1:9" ht="12.75">
      <c r="A4" s="24"/>
      <c r="B4" s="24"/>
      <c r="C4" s="24"/>
      <c r="D4" s="24"/>
      <c r="E4" s="24"/>
      <c r="F4" s="24"/>
      <c r="G4" s="24"/>
      <c r="H4" s="24"/>
      <c r="I4" s="24"/>
    </row>
    <row r="5" spans="1:9" ht="12.75">
      <c r="A5" s="46"/>
      <c r="B5" s="46"/>
      <c r="C5" s="46"/>
      <c r="D5" s="46"/>
      <c r="E5" s="468" t="s">
        <v>166</v>
      </c>
      <c r="F5" s="467"/>
      <c r="G5" s="466" t="s">
        <v>165</v>
      </c>
      <c r="H5" s="466"/>
      <c r="I5" s="467"/>
    </row>
    <row r="6" spans="1:9" ht="12.75">
      <c r="A6" s="412" t="s">
        <v>37</v>
      </c>
      <c r="B6" s="413" t="s">
        <v>48</v>
      </c>
      <c r="C6" s="414" t="s">
        <v>39</v>
      </c>
      <c r="D6" s="29" t="s">
        <v>4</v>
      </c>
      <c r="E6" s="29" t="s">
        <v>163</v>
      </c>
      <c r="F6" s="29" t="s">
        <v>18</v>
      </c>
      <c r="G6" s="27" t="s">
        <v>160</v>
      </c>
      <c r="H6" s="26" t="s">
        <v>164</v>
      </c>
      <c r="I6" s="27" t="s">
        <v>18</v>
      </c>
    </row>
    <row r="7" spans="1:9" ht="12.75">
      <c r="A7" s="415">
        <v>16</v>
      </c>
      <c r="B7" s="416">
        <v>-0.81</v>
      </c>
      <c r="C7" s="417">
        <v>6.06</v>
      </c>
      <c r="D7" s="336">
        <f>IF(A7&gt;0,C7/SQRT(A7),"")</f>
        <v>1.515</v>
      </c>
      <c r="E7" s="321">
        <f>IF(A7&gt;0,B7-1.96*C7,"")</f>
        <v>-12.6876</v>
      </c>
      <c r="F7" s="321">
        <f>IF(A7&gt;0,B7-1.96*D7,"")</f>
        <v>-3.7794</v>
      </c>
      <c r="G7" s="118">
        <f>IF(A7&gt;1,A7-1,"")</f>
        <v>15</v>
      </c>
      <c r="H7" s="164">
        <f>IF(A7&gt;1,TINV(0.05,G7),"")</f>
        <v>2.1314495356759524</v>
      </c>
      <c r="I7" s="323">
        <f>IF(A7&gt;1,B7-H7*D7,"")</f>
        <v>-4.039146046549067</v>
      </c>
    </row>
    <row r="8" spans="1:9" ht="12.75">
      <c r="A8" s="46"/>
      <c r="B8" s="46"/>
      <c r="C8" s="46"/>
      <c r="D8" s="46"/>
      <c r="E8" s="324">
        <f>IF(A7&gt;0,B7+1.96*C7,"")</f>
        <v>11.067599999999999</v>
      </c>
      <c r="F8" s="322">
        <f>IF(A7&gt;0,B7+1.96*D7,"")</f>
        <v>2.1593999999999998</v>
      </c>
      <c r="G8" s="46"/>
      <c r="H8" s="203"/>
      <c r="I8" s="324">
        <f>IF(A7&gt;1,B7+H7*D7,"")</f>
        <v>2.4191460465490677</v>
      </c>
    </row>
    <row r="9" spans="1:9" ht="12.75">
      <c r="A9" s="24"/>
      <c r="B9" s="24"/>
      <c r="C9" s="24"/>
      <c r="D9" s="24"/>
      <c r="E9" s="24"/>
      <c r="F9" s="24"/>
      <c r="G9" s="24"/>
      <c r="H9" s="24"/>
      <c r="I9" s="24"/>
    </row>
    <row r="10" spans="1:9" ht="12.75">
      <c r="A10" s="46"/>
      <c r="B10" s="46"/>
      <c r="C10" s="46"/>
      <c r="D10" s="46"/>
      <c r="E10" s="468" t="s">
        <v>166</v>
      </c>
      <c r="F10" s="467"/>
      <c r="G10" s="466" t="s">
        <v>165</v>
      </c>
      <c r="H10" s="466"/>
      <c r="I10" s="467"/>
    </row>
    <row r="11" spans="1:9" ht="12.75">
      <c r="A11" s="412" t="s">
        <v>37</v>
      </c>
      <c r="B11" s="413" t="s">
        <v>48</v>
      </c>
      <c r="C11" s="414" t="s">
        <v>39</v>
      </c>
      <c r="D11" s="29" t="s">
        <v>4</v>
      </c>
      <c r="E11" s="27" t="s">
        <v>163</v>
      </c>
      <c r="F11" s="29" t="s">
        <v>18</v>
      </c>
      <c r="G11" s="27" t="s">
        <v>160</v>
      </c>
      <c r="H11" s="26" t="s">
        <v>164</v>
      </c>
      <c r="I11" s="27" t="s">
        <v>18</v>
      </c>
    </row>
    <row r="12" spans="1:9" ht="12.75">
      <c r="A12" s="415"/>
      <c r="B12" s="416"/>
      <c r="C12" s="417"/>
      <c r="D12" s="336">
        <f>IF(A12&gt;0,C12/SQRT(A12),"")</f>
      </c>
      <c r="E12" s="323">
        <f>IF(A12&gt;0,B12-1.96*C12,"")</f>
      </c>
      <c r="F12" s="321">
        <f>IF(A12&gt;0,B12-1.96*D12,"")</f>
      </c>
      <c r="G12" s="118">
        <f>IF(A12&gt;1,A12-1,"")</f>
      </c>
      <c r="H12" s="164">
        <f>IF(A12&gt;1,TINV(0.05,G12),"")</f>
      </c>
      <c r="I12" s="323">
        <f>IF(A12&gt;1,B12-H12*D12,"")</f>
      </c>
    </row>
    <row r="13" spans="1:9" ht="12.75">
      <c r="A13" s="46"/>
      <c r="B13" s="46"/>
      <c r="C13" s="46"/>
      <c r="D13" s="46"/>
      <c r="E13" s="324">
        <f>IF(A12&gt;0,B12+1.96*C12,"")</f>
      </c>
      <c r="F13" s="322">
        <f>IF(A12&gt;0,B12+1.96*D12,"")</f>
      </c>
      <c r="G13" s="46"/>
      <c r="H13" s="203"/>
      <c r="I13" s="324">
        <f>IF(A12&gt;1,B12+H12*D12,"")</f>
      </c>
    </row>
    <row r="14" spans="1:9" ht="12.75">
      <c r="A14" s="24"/>
      <c r="B14" s="24"/>
      <c r="C14" s="24"/>
      <c r="D14" s="24"/>
      <c r="E14" s="24"/>
      <c r="F14" s="24"/>
      <c r="G14" s="24"/>
      <c r="H14" s="24"/>
      <c r="I14" s="24"/>
    </row>
    <row r="15" spans="1:9" ht="12.75">
      <c r="A15" s="46"/>
      <c r="B15" s="46"/>
      <c r="C15" s="46"/>
      <c r="D15" s="46"/>
      <c r="E15" s="468" t="s">
        <v>166</v>
      </c>
      <c r="F15" s="467"/>
      <c r="G15" s="466" t="s">
        <v>165</v>
      </c>
      <c r="H15" s="466"/>
      <c r="I15" s="467"/>
    </row>
    <row r="16" spans="1:9" ht="12.75">
      <c r="A16" s="412" t="s">
        <v>37</v>
      </c>
      <c r="B16" s="413" t="s">
        <v>48</v>
      </c>
      <c r="C16" s="414" t="s">
        <v>39</v>
      </c>
      <c r="D16" s="29" t="s">
        <v>4</v>
      </c>
      <c r="E16" s="27" t="s">
        <v>163</v>
      </c>
      <c r="F16" s="29" t="s">
        <v>18</v>
      </c>
      <c r="G16" s="27" t="s">
        <v>160</v>
      </c>
      <c r="H16" s="26" t="s">
        <v>164</v>
      </c>
      <c r="I16" s="27" t="s">
        <v>18</v>
      </c>
    </row>
    <row r="17" spans="1:9" ht="12.75">
      <c r="A17" s="415"/>
      <c r="B17" s="416"/>
      <c r="C17" s="417"/>
      <c r="D17" s="336">
        <f>IF(A17&gt;0,C17/SQRT(A17),"")</f>
      </c>
      <c r="E17" s="323">
        <f>IF(A17&gt;0,B17-1.96*C17,"")</f>
      </c>
      <c r="F17" s="321">
        <f>IF(A17&gt;0,B17-1.96*D17,"")</f>
      </c>
      <c r="G17" s="118">
        <f>IF(A17&gt;1,A17-1,"")</f>
      </c>
      <c r="H17" s="164">
        <f>IF(A17&gt;1,TINV(0.05,G17),"")</f>
      </c>
      <c r="I17" s="323">
        <f>IF(A17&gt;1,B17-H17*D17,"")</f>
      </c>
    </row>
    <row r="18" spans="1:9" ht="12.75">
      <c r="A18" s="46"/>
      <c r="B18" s="46"/>
      <c r="C18" s="46"/>
      <c r="D18" s="46"/>
      <c r="E18" s="324">
        <f>IF(A17&gt;0,B17+1.96*C17,"")</f>
      </c>
      <c r="F18" s="322">
        <f>IF(A17&gt;0,B17+1.96*D17,"")</f>
      </c>
      <c r="G18" s="46"/>
      <c r="H18" s="203"/>
      <c r="I18" s="324">
        <f>IF(A17&gt;1,B17+H17*D17,"")</f>
      </c>
    </row>
    <row r="20" spans="1:9" ht="12.75">
      <c r="A20" s="46"/>
      <c r="B20" s="46"/>
      <c r="C20" s="46"/>
      <c r="D20" s="46"/>
      <c r="E20" s="468" t="s">
        <v>166</v>
      </c>
      <c r="F20" s="467"/>
      <c r="G20" s="466" t="s">
        <v>165</v>
      </c>
      <c r="H20" s="466"/>
      <c r="I20" s="467"/>
    </row>
    <row r="21" spans="1:9" ht="12.75">
      <c r="A21" s="412" t="s">
        <v>37</v>
      </c>
      <c r="B21" s="413" t="s">
        <v>48</v>
      </c>
      <c r="C21" s="414" t="s">
        <v>39</v>
      </c>
      <c r="D21" s="26" t="s">
        <v>4</v>
      </c>
      <c r="E21" s="27" t="s">
        <v>163</v>
      </c>
      <c r="F21" s="29" t="s">
        <v>18</v>
      </c>
      <c r="G21" s="27" t="s">
        <v>160</v>
      </c>
      <c r="H21" s="26" t="s">
        <v>164</v>
      </c>
      <c r="I21" s="27" t="s">
        <v>18</v>
      </c>
    </row>
    <row r="22" spans="1:9" ht="12.75">
      <c r="A22" s="415"/>
      <c r="B22" s="416"/>
      <c r="C22" s="417"/>
      <c r="D22" s="164">
        <f>IF(A22&gt;0,C22/SQRT(A22),"")</f>
      </c>
      <c r="E22" s="323">
        <f>IF(A22&gt;0,B22-1.96*C22,"")</f>
      </c>
      <c r="F22" s="321">
        <f>IF(A22&gt;0,B22-1.96*D22,"")</f>
      </c>
      <c r="G22" s="118">
        <f>IF(A22&gt;1,A22-1,"")</f>
      </c>
      <c r="H22" s="164">
        <f>IF(A22&gt;1,TINV(0.05,G22),"")</f>
      </c>
      <c r="I22" s="323">
        <f>IF(A22&gt;1,B22-H22*D22,"")</f>
      </c>
    </row>
    <row r="23" spans="1:9" ht="12.75">
      <c r="A23" s="46"/>
      <c r="B23" s="46"/>
      <c r="C23" s="46"/>
      <c r="D23" s="46"/>
      <c r="E23" s="324">
        <f>IF(A22&gt;0,B22+1.96*C22,"")</f>
      </c>
      <c r="F23" s="322">
        <f>IF(A22&gt;0,B22+1.96*D22,"")</f>
      </c>
      <c r="G23" s="46"/>
      <c r="H23" s="203"/>
      <c r="I23" s="324">
        <f>IF(A22&gt;1,B22+H22*D22,"")</f>
      </c>
    </row>
    <row r="25" spans="1:9" ht="12.75">
      <c r="A25" s="46"/>
      <c r="B25" s="46"/>
      <c r="C25" s="46"/>
      <c r="D25" s="46"/>
      <c r="E25" s="468" t="s">
        <v>166</v>
      </c>
      <c r="F25" s="467"/>
      <c r="G25" s="466" t="s">
        <v>165</v>
      </c>
      <c r="H25" s="466"/>
      <c r="I25" s="467"/>
    </row>
    <row r="26" spans="1:9" ht="12.75">
      <c r="A26" s="412" t="s">
        <v>37</v>
      </c>
      <c r="B26" s="413" t="s">
        <v>48</v>
      </c>
      <c r="C26" s="414" t="s">
        <v>39</v>
      </c>
      <c r="D26" s="26" t="s">
        <v>4</v>
      </c>
      <c r="E26" s="27" t="s">
        <v>163</v>
      </c>
      <c r="F26" s="29" t="s">
        <v>18</v>
      </c>
      <c r="G26" s="27" t="s">
        <v>160</v>
      </c>
      <c r="H26" s="26" t="s">
        <v>164</v>
      </c>
      <c r="I26" s="27" t="s">
        <v>18</v>
      </c>
    </row>
    <row r="27" spans="1:9" ht="12.75">
      <c r="A27" s="415"/>
      <c r="B27" s="416"/>
      <c r="C27" s="417"/>
      <c r="D27" s="164">
        <f>IF(A27&gt;0,C27/SQRT(A27),"")</f>
      </c>
      <c r="E27" s="323">
        <f>IF(A27&gt;0,B27-1.96*C27,"")</f>
      </c>
      <c r="F27" s="321">
        <f>IF(A27&gt;0,B27-1.96*D27,"")</f>
      </c>
      <c r="G27" s="118">
        <f>IF(A27&gt;1,A27-1,"")</f>
      </c>
      <c r="H27" s="164">
        <f>IF(A27&gt;1,TINV(0.05,G27),"")</f>
      </c>
      <c r="I27" s="323">
        <f>IF(A27&gt;1,B27-H27*D27,"")</f>
      </c>
    </row>
    <row r="28" spans="1:9" ht="12.75">
      <c r="A28" s="46"/>
      <c r="B28" s="46"/>
      <c r="C28" s="46"/>
      <c r="D28" s="46"/>
      <c r="E28" s="324">
        <f>IF(A27&gt;0,B27+1.96*C27,"")</f>
      </c>
      <c r="F28" s="322">
        <f>IF(A27&gt;0,B27+1.96*D27,"")</f>
      </c>
      <c r="G28" s="46"/>
      <c r="H28" s="203"/>
      <c r="I28" s="324">
        <f>IF(A27&gt;1,B27+H27*D27,"")</f>
      </c>
    </row>
    <row r="30" spans="1:9" ht="12.75">
      <c r="A30" s="46"/>
      <c r="B30" s="46"/>
      <c r="C30" s="46"/>
      <c r="D30" s="46"/>
      <c r="E30" s="468" t="s">
        <v>166</v>
      </c>
      <c r="F30" s="467"/>
      <c r="G30" s="466" t="s">
        <v>165</v>
      </c>
      <c r="H30" s="466"/>
      <c r="I30" s="467"/>
    </row>
    <row r="31" spans="1:9" ht="12.75">
      <c r="A31" s="412" t="s">
        <v>37</v>
      </c>
      <c r="B31" s="413" t="s">
        <v>48</v>
      </c>
      <c r="C31" s="414" t="s">
        <v>39</v>
      </c>
      <c r="D31" s="26" t="s">
        <v>4</v>
      </c>
      <c r="E31" s="27" t="s">
        <v>163</v>
      </c>
      <c r="F31" s="29" t="s">
        <v>18</v>
      </c>
      <c r="G31" s="27" t="s">
        <v>160</v>
      </c>
      <c r="H31" s="26" t="s">
        <v>164</v>
      </c>
      <c r="I31" s="27" t="s">
        <v>18</v>
      </c>
    </row>
    <row r="32" spans="1:9" ht="12.75">
      <c r="A32" s="415"/>
      <c r="B32" s="416"/>
      <c r="C32" s="417"/>
      <c r="D32" s="164">
        <f>IF(A32&gt;0,C32/SQRT(A32),"")</f>
      </c>
      <c r="E32" s="323">
        <f>IF(A32&gt;0,B32-1.96*C32,"")</f>
      </c>
      <c r="F32" s="321">
        <f>IF(A32&gt;0,B32-1.96*D32,"")</f>
      </c>
      <c r="G32" s="118">
        <f>IF(A32&gt;1,A32-1,"")</f>
      </c>
      <c r="H32" s="164">
        <f>IF(A32&gt;1,TINV(0.05,G32),"")</f>
      </c>
      <c r="I32" s="323">
        <f>IF(A32&gt;1,B32-H32*D32,"")</f>
      </c>
    </row>
    <row r="33" spans="1:9" ht="12.75">
      <c r="A33" s="46"/>
      <c r="B33" s="46"/>
      <c r="C33" s="46"/>
      <c r="D33" s="46"/>
      <c r="E33" s="324">
        <f>IF(A32&gt;0,B32+1.96*C32,"")</f>
      </c>
      <c r="F33" s="322">
        <f>IF(A32&gt;0,B32+1.96*D32,"")</f>
      </c>
      <c r="G33" s="46"/>
      <c r="H33" s="203"/>
      <c r="I33" s="324">
        <f>IF(A32&gt;1,B32+H32*D32,"")</f>
      </c>
    </row>
    <row r="35" spans="1:9" ht="12.75">
      <c r="A35" s="46"/>
      <c r="B35" s="46"/>
      <c r="C35" s="46"/>
      <c r="D35" s="46"/>
      <c r="E35" s="468" t="s">
        <v>166</v>
      </c>
      <c r="F35" s="467"/>
      <c r="G35" s="466" t="s">
        <v>165</v>
      </c>
      <c r="H35" s="466"/>
      <c r="I35" s="467"/>
    </row>
    <row r="36" spans="1:9" ht="12.75">
      <c r="A36" s="412" t="s">
        <v>37</v>
      </c>
      <c r="B36" s="413" t="s">
        <v>48</v>
      </c>
      <c r="C36" s="414" t="s">
        <v>39</v>
      </c>
      <c r="D36" s="26" t="s">
        <v>4</v>
      </c>
      <c r="E36" s="27" t="s">
        <v>163</v>
      </c>
      <c r="F36" s="29" t="s">
        <v>18</v>
      </c>
      <c r="G36" s="27" t="s">
        <v>160</v>
      </c>
      <c r="H36" s="26" t="s">
        <v>164</v>
      </c>
      <c r="I36" s="27" t="s">
        <v>18</v>
      </c>
    </row>
    <row r="37" spans="1:9" ht="12.75">
      <c r="A37" s="415"/>
      <c r="B37" s="416"/>
      <c r="C37" s="417"/>
      <c r="D37" s="164">
        <f>IF(A37&gt;0,C37/SQRT(A37),"")</f>
      </c>
      <c r="E37" s="323">
        <f>IF(A37&gt;0,B37-1.96*C37,"")</f>
      </c>
      <c r="F37" s="321">
        <f>IF(A37&gt;0,B37-1.96*D37,"")</f>
      </c>
      <c r="G37" s="118">
        <f>IF(A37&gt;1,A37-1,"")</f>
      </c>
      <c r="H37" s="164">
        <f>IF(A37&gt;1,TINV(0.05,G37),"")</f>
      </c>
      <c r="I37" s="323">
        <f>IF(A37&gt;1,B37-H37*D37,"")</f>
      </c>
    </row>
    <row r="38" spans="1:9" ht="12.75">
      <c r="A38" s="46"/>
      <c r="B38" s="46"/>
      <c r="C38" s="46"/>
      <c r="D38" s="46"/>
      <c r="E38" s="324">
        <f>IF(A37&gt;0,B37+1.96*C37,"")</f>
      </c>
      <c r="F38" s="322">
        <f>IF(A37&gt;0,B37+1.96*D37,"")</f>
      </c>
      <c r="G38" s="46"/>
      <c r="H38" s="203"/>
      <c r="I38" s="324">
        <f>IF(A37&gt;1,B37+H37*D37,"")</f>
      </c>
    </row>
    <row r="40" spans="1:9" ht="12.75">
      <c r="A40" s="46"/>
      <c r="B40" s="46"/>
      <c r="C40" s="46"/>
      <c r="D40" s="46"/>
      <c r="E40" s="468" t="s">
        <v>166</v>
      </c>
      <c r="F40" s="467"/>
      <c r="G40" s="466" t="s">
        <v>165</v>
      </c>
      <c r="H40" s="466"/>
      <c r="I40" s="467"/>
    </row>
    <row r="41" spans="1:9" ht="12.75">
      <c r="A41" s="412" t="s">
        <v>37</v>
      </c>
      <c r="B41" s="413" t="s">
        <v>48</v>
      </c>
      <c r="C41" s="414" t="s">
        <v>39</v>
      </c>
      <c r="D41" s="26" t="s">
        <v>4</v>
      </c>
      <c r="E41" s="27" t="s">
        <v>163</v>
      </c>
      <c r="F41" s="29" t="s">
        <v>18</v>
      </c>
      <c r="G41" s="27" t="s">
        <v>160</v>
      </c>
      <c r="H41" s="26" t="s">
        <v>164</v>
      </c>
      <c r="I41" s="27" t="s">
        <v>18</v>
      </c>
    </row>
    <row r="42" spans="1:9" ht="12.75">
      <c r="A42" s="415"/>
      <c r="B42" s="416"/>
      <c r="C42" s="417"/>
      <c r="D42" s="164">
        <f>IF(A42&gt;0,C42/SQRT(A42),"")</f>
      </c>
      <c r="E42" s="323">
        <f>IF(A42&gt;0,B42-1.96*C42,"")</f>
      </c>
      <c r="F42" s="321">
        <f>IF(A42&gt;0,B42-1.96*D42,"")</f>
      </c>
      <c r="G42" s="118">
        <f>IF(A42&gt;1,A42-1,"")</f>
      </c>
      <c r="H42" s="164">
        <f>IF(A42&gt;1,TINV(0.05,G42),"")</f>
      </c>
      <c r="I42" s="323">
        <f>IF(A42&gt;1,B42-H42*D42,"")</f>
      </c>
    </row>
    <row r="43" spans="1:9" ht="12.75">
      <c r="A43" s="46"/>
      <c r="B43" s="46"/>
      <c r="C43" s="46"/>
      <c r="D43" s="46"/>
      <c r="E43" s="324">
        <f>IF(A42&gt;0,B42+1.96*C42,"")</f>
      </c>
      <c r="F43" s="322">
        <f>IF(A42&gt;0,B42+1.96*D42,"")</f>
      </c>
      <c r="G43" s="46"/>
      <c r="H43" s="203"/>
      <c r="I43" s="324">
        <f>IF(A42&gt;1,B42+H42*D42,"")</f>
      </c>
    </row>
  </sheetData>
  <sheetProtection sheet="1" objects="1" scenarios="1"/>
  <mergeCells count="18">
    <mergeCell ref="E40:F40"/>
    <mergeCell ref="G40:I40"/>
    <mergeCell ref="E30:F30"/>
    <mergeCell ref="G30:I30"/>
    <mergeCell ref="E35:F35"/>
    <mergeCell ref="G35:I35"/>
    <mergeCell ref="E20:F20"/>
    <mergeCell ref="G20:I20"/>
    <mergeCell ref="E25:F25"/>
    <mergeCell ref="G25:I25"/>
    <mergeCell ref="E10:F10"/>
    <mergeCell ref="G10:I10"/>
    <mergeCell ref="E15:F15"/>
    <mergeCell ref="G15:I15"/>
    <mergeCell ref="G5:I5"/>
    <mergeCell ref="E5:F5"/>
    <mergeCell ref="B1:F1"/>
    <mergeCell ref="I1:I2"/>
  </mergeCells>
  <hyperlinks>
    <hyperlink ref="I1:I2" location="Start!A1" display="Start"/>
  </hyperlink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">
      <selection activeCell="B43" sqref="B43"/>
    </sheetView>
  </sheetViews>
  <sheetFormatPr defaultColWidth="9.140625" defaultRowHeight="12.75"/>
  <cols>
    <col min="1" max="1" width="12.140625" style="0" customWidth="1"/>
    <col min="2" max="2" width="8.7109375" style="0" customWidth="1"/>
    <col min="3" max="3" width="10.8515625" style="0" customWidth="1"/>
    <col min="4" max="9" width="8.7109375" style="0" customWidth="1"/>
    <col min="10" max="15" width="8.7109375" style="0" hidden="1" customWidth="1"/>
  </cols>
  <sheetData>
    <row r="1" spans="1:9" ht="12.75">
      <c r="A1" s="444" t="s">
        <v>168</v>
      </c>
      <c r="B1" s="436" t="s">
        <v>170</v>
      </c>
      <c r="C1" s="436"/>
      <c r="D1" s="436"/>
      <c r="E1" s="436"/>
      <c r="F1" s="436"/>
      <c r="G1" s="301"/>
      <c r="H1" s="301"/>
      <c r="I1" s="437" t="s">
        <v>218</v>
      </c>
    </row>
    <row r="2" spans="1:16" ht="12.75">
      <c r="A2" s="301"/>
      <c r="B2" s="301"/>
      <c r="C2" s="301"/>
      <c r="D2" s="301"/>
      <c r="E2" s="301"/>
      <c r="F2" s="445"/>
      <c r="G2" s="301"/>
      <c r="H2" s="446"/>
      <c r="I2" s="438"/>
      <c r="J2" s="327"/>
      <c r="K2" s="291"/>
      <c r="L2" s="291"/>
      <c r="M2" s="291"/>
      <c r="N2" s="291"/>
      <c r="O2" s="299"/>
      <c r="P2" s="301"/>
    </row>
    <row r="3" spans="1:16" ht="12.75">
      <c r="A3" s="301"/>
      <c r="B3" s="301"/>
      <c r="C3" s="301"/>
      <c r="D3" s="301"/>
      <c r="E3" s="301"/>
      <c r="F3" s="445"/>
      <c r="G3" s="301"/>
      <c r="H3" s="301"/>
      <c r="I3" s="301"/>
      <c r="J3" s="327"/>
      <c r="K3" s="291"/>
      <c r="L3" s="291"/>
      <c r="M3" s="291"/>
      <c r="N3" s="291"/>
      <c r="O3" s="299"/>
      <c r="P3" s="301"/>
    </row>
    <row r="4" spans="1:16" ht="12" customHeight="1">
      <c r="A4" s="301"/>
      <c r="B4" s="301"/>
      <c r="C4" s="301"/>
      <c r="D4" s="301"/>
      <c r="E4" s="301"/>
      <c r="F4" s="301"/>
      <c r="G4" s="447"/>
      <c r="H4" s="447"/>
      <c r="I4" s="301"/>
      <c r="J4" s="327"/>
      <c r="K4" s="291"/>
      <c r="L4" s="291"/>
      <c r="M4" s="291"/>
      <c r="N4" s="292"/>
      <c r="O4" s="300"/>
      <c r="P4" s="301"/>
    </row>
    <row r="5" spans="1:16" ht="12" customHeight="1">
      <c r="A5" s="40"/>
      <c r="B5" s="472" t="s">
        <v>125</v>
      </c>
      <c r="C5" s="472"/>
      <c r="D5" s="145">
        <v>100</v>
      </c>
      <c r="E5" s="40"/>
      <c r="F5" s="40"/>
      <c r="G5" s="40"/>
      <c r="H5" s="40"/>
      <c r="I5" s="40"/>
      <c r="J5" s="298"/>
      <c r="K5" s="292"/>
      <c r="L5" s="292"/>
      <c r="M5" s="292"/>
      <c r="N5" s="292"/>
      <c r="O5" s="300"/>
      <c r="P5" s="301"/>
    </row>
    <row r="6" spans="1:16" ht="12" customHeight="1">
      <c r="A6" s="40"/>
      <c r="B6" s="40"/>
      <c r="C6" s="40"/>
      <c r="D6" s="40"/>
      <c r="E6" s="40"/>
      <c r="F6" s="40"/>
      <c r="G6" s="40"/>
      <c r="H6" s="40"/>
      <c r="I6" s="40"/>
      <c r="J6" s="298"/>
      <c r="K6" s="292"/>
      <c r="L6" s="292"/>
      <c r="M6" s="292"/>
      <c r="N6" s="292"/>
      <c r="O6" s="300"/>
      <c r="P6" s="301"/>
    </row>
    <row r="7" spans="1:16" ht="12" customHeight="1">
      <c r="A7" s="40"/>
      <c r="B7" s="448"/>
      <c r="C7" s="448"/>
      <c r="D7" s="290" t="s">
        <v>128</v>
      </c>
      <c r="E7" s="136" t="s">
        <v>4</v>
      </c>
      <c r="F7" s="433" t="s">
        <v>77</v>
      </c>
      <c r="G7" s="433"/>
      <c r="H7" s="434" t="s">
        <v>75</v>
      </c>
      <c r="I7" s="435"/>
      <c r="J7" s="297" t="s">
        <v>4</v>
      </c>
      <c r="K7" s="293" t="s">
        <v>78</v>
      </c>
      <c r="L7" s="293" t="s">
        <v>79</v>
      </c>
      <c r="M7" s="292"/>
      <c r="N7" s="292"/>
      <c r="O7" s="300"/>
      <c r="P7" s="301"/>
    </row>
    <row r="8" spans="1:16" ht="12" customHeight="1">
      <c r="A8" s="348" t="s">
        <v>126</v>
      </c>
      <c r="B8" s="418">
        <v>18</v>
      </c>
      <c r="C8" s="449" t="s">
        <v>122</v>
      </c>
      <c r="D8" s="454">
        <f>IF(L8=TRUE,$D$5*N8,"")</f>
        <v>4.017857142857143</v>
      </c>
      <c r="E8" s="456">
        <f>IF(L8=TRUE,$D$5*J8,"")</f>
        <v>0.9277980584153774</v>
      </c>
      <c r="F8" s="450">
        <f>IF(L8=TRUE,D8-1.96*E8,"")</f>
        <v>2.1993729483630036</v>
      </c>
      <c r="G8" s="450">
        <f>IF(L8=TRUE,D8+1.96*E8,"")</f>
        <v>5.836341337351283</v>
      </c>
      <c r="H8" s="454">
        <f>IF(L8=TRUE,IF(B8=0,0,$D$5*B8/(B8+(B9-B8+1)*FINV(0.025,2*K8+2,2*B8))),"")</f>
        <v>2.398326295774682</v>
      </c>
      <c r="I8" s="455">
        <f>IF(L8=TRUE,IF(B8=B9,$D$5,$D$5*(B8+1)/(B8+1+K8/FINV(0.025,2*B8+2,2*K8))),"")</f>
        <v>6.275775522229279</v>
      </c>
      <c r="J8" s="297">
        <f>IF(L8=TRUE,SQRT(N8*N9/B9),"")</f>
        <v>0.009277980584153774</v>
      </c>
      <c r="K8" s="294">
        <f>B9-B8</f>
        <v>430</v>
      </c>
      <c r="L8" s="295" t="b">
        <f>AND(B9&gt;0,B9&gt;=B8,ROUND(B8,0)=B8,ROUND(B9,0)=B9)</f>
        <v>1</v>
      </c>
      <c r="M8" s="296"/>
      <c r="N8" s="292">
        <f>B8/B9</f>
        <v>0.04017857142857143</v>
      </c>
      <c r="O8" s="300" t="s">
        <v>50</v>
      </c>
      <c r="P8" s="301"/>
    </row>
    <row r="9" spans="1:16" ht="12" customHeight="1">
      <c r="A9" s="360" t="s">
        <v>127</v>
      </c>
      <c r="B9" s="419">
        <v>448</v>
      </c>
      <c r="C9" s="449" t="s">
        <v>123</v>
      </c>
      <c r="D9" s="138">
        <f>IF(L8=TRUE,N10,"")</f>
        <v>0.04186046511627907</v>
      </c>
      <c r="E9" s="137"/>
      <c r="F9" s="453">
        <f>IF(L8=TRUE,EXP(F10),"")</f>
        <v>0.026122453965615033</v>
      </c>
      <c r="G9" s="453">
        <f>IF(L8=TRUE,EXP(G10),"")</f>
        <v>0.06708016567117953</v>
      </c>
      <c r="H9" s="138">
        <f>IF(L8=TRUE,(H8/$D$5)/(1-H8/$D$5),"")</f>
        <v>0.024572593939757973</v>
      </c>
      <c r="I9" s="139">
        <f>IF(L8=TRUE,(I8/$D$5)/(1-I8/$D$5),"")</f>
        <v>0.06696001548369976</v>
      </c>
      <c r="J9" s="297"/>
      <c r="K9" s="294"/>
      <c r="L9" s="293"/>
      <c r="M9" s="296"/>
      <c r="N9" s="292">
        <f>1-N8</f>
        <v>0.9598214285714286</v>
      </c>
      <c r="O9" s="300" t="s">
        <v>120</v>
      </c>
      <c r="P9" s="301"/>
    </row>
    <row r="10" spans="1:16" ht="12" customHeight="1">
      <c r="A10" s="40"/>
      <c r="B10" s="40"/>
      <c r="C10" s="451" t="s">
        <v>124</v>
      </c>
      <c r="D10" s="452">
        <f>IF(L8=TRUE,LN(D9),"")</f>
        <v>-3.1734134507914433</v>
      </c>
      <c r="E10" s="452">
        <f>IF(L8=TRUE,SQRT(1/B8+1/K8),"")</f>
        <v>0.24058498903901795</v>
      </c>
      <c r="F10" s="452">
        <f>IF(L8=TRUE,D10-1.96*E10,"")</f>
        <v>-3.6449600293079185</v>
      </c>
      <c r="G10" s="452">
        <f>IF(L8=TRUE,D10+1.96*E10,"")</f>
        <v>-2.701866872274968</v>
      </c>
      <c r="H10" s="40"/>
      <c r="I10" s="40"/>
      <c r="J10" s="298"/>
      <c r="K10" s="292"/>
      <c r="L10" s="292"/>
      <c r="M10" s="292"/>
      <c r="N10" s="292">
        <f>N8/N9</f>
        <v>0.04186046511627907</v>
      </c>
      <c r="O10" s="300" t="s">
        <v>121</v>
      </c>
      <c r="P10" s="301"/>
    </row>
    <row r="11" spans="1:15" ht="12" customHeight="1">
      <c r="A11" s="40"/>
      <c r="B11" s="40"/>
      <c r="C11" s="40"/>
      <c r="D11" s="40"/>
      <c r="E11" s="40"/>
      <c r="F11" s="40"/>
      <c r="G11" s="40"/>
      <c r="H11" s="40"/>
      <c r="I11" s="40"/>
      <c r="J11" s="24"/>
      <c r="K11" s="24"/>
      <c r="L11" s="24"/>
      <c r="M11" s="24"/>
      <c r="N11" s="24"/>
      <c r="O11" s="24"/>
    </row>
    <row r="12" spans="1:15" ht="12" customHeight="1">
      <c r="A12" s="40"/>
      <c r="B12" s="448"/>
      <c r="C12" s="448"/>
      <c r="D12" s="290" t="s">
        <v>128</v>
      </c>
      <c r="E12" s="136" t="s">
        <v>4</v>
      </c>
      <c r="F12" s="433" t="s">
        <v>77</v>
      </c>
      <c r="G12" s="433"/>
      <c r="H12" s="434" t="s">
        <v>75</v>
      </c>
      <c r="I12" s="435"/>
      <c r="J12" s="297" t="s">
        <v>4</v>
      </c>
      <c r="K12" s="293" t="s">
        <v>78</v>
      </c>
      <c r="L12" s="293" t="s">
        <v>79</v>
      </c>
      <c r="M12" s="292"/>
      <c r="N12" s="292"/>
      <c r="O12" s="300"/>
    </row>
    <row r="13" spans="1:15" ht="12" customHeight="1">
      <c r="A13" s="348" t="s">
        <v>126</v>
      </c>
      <c r="B13" s="418"/>
      <c r="C13" s="449" t="s">
        <v>122</v>
      </c>
      <c r="D13" s="454">
        <f>IF(L13=TRUE,$D$5*N13,"")</f>
      </c>
      <c r="E13" s="456">
        <f>IF(L13=TRUE,$D$5*J13,"")</f>
      </c>
      <c r="F13" s="450">
        <f>IF(L13=TRUE,D13-1.96*E13,"")</f>
      </c>
      <c r="G13" s="450">
        <f>IF(L13=TRUE,D13+1.96*E13,"")</f>
      </c>
      <c r="H13" s="454">
        <f>IF(L13=TRUE,IF(B13=0,0,$D$5*B13/(B13+(B14-B13+1)*FINV(0.025,2*K13+2,2*B13))),"")</f>
      </c>
      <c r="I13" s="455">
        <f>IF(L13=TRUE,IF(B13=B14,$D$5,$D$5*(B13+1)/(B13+1+K13/FINV(0.025,2*B13+2,2*K13))),"")</f>
      </c>
      <c r="J13" s="297">
        <f>IF(L13=TRUE,SQRT(N13*N14/B14),"")</f>
      </c>
      <c r="K13" s="294">
        <f>B14-B13</f>
        <v>0</v>
      </c>
      <c r="L13" s="295" t="b">
        <f>AND(B14&gt;0,B14&gt;=B13,ROUND(B13,0)=B13,ROUND(B14,0)=B14)</f>
        <v>0</v>
      </c>
      <c r="M13" s="296"/>
      <c r="N13" s="292" t="e">
        <f>B13/B14</f>
        <v>#DIV/0!</v>
      </c>
      <c r="O13" s="300" t="s">
        <v>50</v>
      </c>
    </row>
    <row r="14" spans="1:15" ht="12" customHeight="1">
      <c r="A14" s="360" t="s">
        <v>127</v>
      </c>
      <c r="B14" s="419"/>
      <c r="C14" s="449" t="s">
        <v>123</v>
      </c>
      <c r="D14" s="138">
        <f>IF(L13=TRUE,N15,"")</f>
      </c>
      <c r="E14" s="137"/>
      <c r="F14" s="453">
        <f>IF(L13=TRUE,EXP(F15),"")</f>
      </c>
      <c r="G14" s="453">
        <f>IF(L13=TRUE,EXP(G15),"")</f>
      </c>
      <c r="H14" s="138">
        <f>IF(L13=TRUE,(H13/$D$5)/(1-H13/$D$5),"")</f>
      </c>
      <c r="I14" s="139">
        <f>IF(L13=TRUE,(I13/$D$5)/(1-I13/$D$5),"")</f>
      </c>
      <c r="J14" s="297"/>
      <c r="K14" s="294"/>
      <c r="L14" s="293"/>
      <c r="M14" s="296"/>
      <c r="N14" s="292" t="e">
        <f>1-N13</f>
        <v>#DIV/0!</v>
      </c>
      <c r="O14" s="300" t="s">
        <v>120</v>
      </c>
    </row>
    <row r="15" spans="1:15" ht="12" customHeight="1">
      <c r="A15" s="40"/>
      <c r="B15" s="40"/>
      <c r="C15" s="451" t="s">
        <v>124</v>
      </c>
      <c r="D15" s="452">
        <f>IF(L13=TRUE,LN(D14),"")</f>
      </c>
      <c r="E15" s="452">
        <f>IF(L13=TRUE,SQRT(1/B13+1/K13),"")</f>
      </c>
      <c r="F15" s="452">
        <f>IF(L13=TRUE,D15-1.96*E15,"")</f>
      </c>
      <c r="G15" s="452">
        <f>IF(L13=TRUE,D15+1.96*E15,"")</f>
      </c>
      <c r="H15" s="40"/>
      <c r="I15" s="40"/>
      <c r="J15" s="298"/>
      <c r="K15" s="292"/>
      <c r="L15" s="292"/>
      <c r="M15" s="292"/>
      <c r="N15" s="292" t="e">
        <f>N13/N14</f>
        <v>#DIV/0!</v>
      </c>
      <c r="O15" s="300" t="s">
        <v>121</v>
      </c>
    </row>
    <row r="16" spans="1:15" ht="12" customHeight="1">
      <c r="A16" s="40"/>
      <c r="B16" s="40"/>
      <c r="C16" s="40"/>
      <c r="D16" s="40"/>
      <c r="E16" s="40"/>
      <c r="F16" s="40"/>
      <c r="G16" s="40"/>
      <c r="H16" s="40"/>
      <c r="I16" s="40"/>
      <c r="J16" s="24"/>
      <c r="K16" s="24"/>
      <c r="L16" s="24"/>
      <c r="M16" s="24"/>
      <c r="N16" s="24"/>
      <c r="O16" s="24"/>
    </row>
    <row r="17" spans="1:15" ht="12" customHeight="1">
      <c r="A17" s="40"/>
      <c r="B17" s="448"/>
      <c r="C17" s="448"/>
      <c r="D17" s="136" t="s">
        <v>128</v>
      </c>
      <c r="E17" s="136" t="s">
        <v>4</v>
      </c>
      <c r="F17" s="434" t="s">
        <v>77</v>
      </c>
      <c r="G17" s="435"/>
      <c r="H17" s="434" t="s">
        <v>75</v>
      </c>
      <c r="I17" s="435"/>
      <c r="J17" s="297" t="s">
        <v>4</v>
      </c>
      <c r="K17" s="293" t="s">
        <v>78</v>
      </c>
      <c r="L17" s="293" t="s">
        <v>79</v>
      </c>
      <c r="M17" s="292"/>
      <c r="N17" s="292"/>
      <c r="O17" s="300"/>
    </row>
    <row r="18" spans="1:15" ht="12" customHeight="1">
      <c r="A18" s="348" t="s">
        <v>126</v>
      </c>
      <c r="B18" s="418"/>
      <c r="C18" s="449" t="s">
        <v>122</v>
      </c>
      <c r="D18" s="456">
        <f>IF(L18=TRUE,$D$5*N18,"")</f>
      </c>
      <c r="E18" s="456">
        <f>IF(L18=TRUE,$D$5*J18,"")</f>
      </c>
      <c r="F18" s="454">
        <f>IF(L18=TRUE,D18-1.96*E18,"")</f>
      </c>
      <c r="G18" s="455">
        <f>IF(L18=TRUE,D18+1.96*E18,"")</f>
      </c>
      <c r="H18" s="454">
        <f>IF(L18=TRUE,IF(B18=0,0,$D$5*B18/(B18+(B19-B18+1)*FINV(0.025,2*K18+2,2*B18))),"")</f>
      </c>
      <c r="I18" s="455">
        <f>IF(L18=TRUE,IF(B18=B19,$D$5,$D$5*(B18+1)/(B18+1+K18/FINV(0.025,2*B18+2,2*K18))),"")</f>
      </c>
      <c r="J18" s="297">
        <f>IF(L18=TRUE,SQRT(N18*N19/B19),"")</f>
      </c>
      <c r="K18" s="294">
        <f>B19-B18</f>
        <v>0</v>
      </c>
      <c r="L18" s="295" t="b">
        <f>AND(B19&gt;0,B19&gt;=B18,ROUND(B18,0)=B18,ROUND(B19,0)=B19)</f>
        <v>0</v>
      </c>
      <c r="M18" s="296"/>
      <c r="N18" s="292" t="e">
        <f>B18/B19</f>
        <v>#DIV/0!</v>
      </c>
      <c r="O18" s="300" t="s">
        <v>50</v>
      </c>
    </row>
    <row r="19" spans="1:15" ht="12" customHeight="1">
      <c r="A19" s="360" t="s">
        <v>127</v>
      </c>
      <c r="B19" s="457"/>
      <c r="C19" s="449" t="s">
        <v>123</v>
      </c>
      <c r="D19" s="137">
        <f>IF(L18=TRUE,N20,"")</f>
      </c>
      <c r="E19" s="137"/>
      <c r="F19" s="138">
        <f>IF(L18=TRUE,EXP(F20),"")</f>
      </c>
      <c r="G19" s="139">
        <f>IF(L18=TRUE,EXP(G20),"")</f>
      </c>
      <c r="H19" s="138">
        <f>IF(L18=TRUE,(H18/$D$5)/(1-H18/$D$5),"")</f>
      </c>
      <c r="I19" s="139">
        <f>IF(L18=TRUE,(I18/$D$5)/(1-I18/$D$5),"")</f>
      </c>
      <c r="J19" s="297"/>
      <c r="K19" s="294"/>
      <c r="L19" s="293"/>
      <c r="M19" s="296"/>
      <c r="N19" s="292" t="e">
        <f>1-N18</f>
        <v>#DIV/0!</v>
      </c>
      <c r="O19" s="300" t="s">
        <v>120</v>
      </c>
    </row>
    <row r="20" spans="1:15" ht="12" customHeight="1">
      <c r="A20" s="40"/>
      <c r="B20" s="40"/>
      <c r="C20" s="451" t="s">
        <v>124</v>
      </c>
      <c r="D20" s="452">
        <f>IF(L18=TRUE,LN(D19),"")</f>
      </c>
      <c r="E20" s="452">
        <f>IF(L18=TRUE,SQRT(1/B18+1/K18),"")</f>
      </c>
      <c r="F20" s="452">
        <f>IF(L18=TRUE,D20-1.96*E20,"")</f>
      </c>
      <c r="G20" s="452">
        <f>IF(L18=TRUE,D20+1.96*E20,"")</f>
      </c>
      <c r="H20" s="40"/>
      <c r="I20" s="40"/>
      <c r="J20" s="298"/>
      <c r="K20" s="292"/>
      <c r="L20" s="292"/>
      <c r="M20" s="292"/>
      <c r="N20" s="292" t="e">
        <f>N18/N19</f>
        <v>#DIV/0!</v>
      </c>
      <c r="O20" s="300" t="s">
        <v>121</v>
      </c>
    </row>
    <row r="21" spans="1:15" ht="12" customHeight="1">
      <c r="A21" s="40"/>
      <c r="B21" s="40"/>
      <c r="C21" s="40"/>
      <c r="D21" s="40"/>
      <c r="E21" s="40"/>
      <c r="F21" s="40"/>
      <c r="G21" s="40"/>
      <c r="H21" s="40"/>
      <c r="I21" s="40"/>
      <c r="J21" s="24"/>
      <c r="K21" s="24"/>
      <c r="L21" s="24"/>
      <c r="M21" s="24"/>
      <c r="N21" s="24"/>
      <c r="O21" s="24"/>
    </row>
    <row r="22" spans="1:15" ht="12" customHeight="1">
      <c r="A22" s="40"/>
      <c r="B22" s="448"/>
      <c r="C22" s="448"/>
      <c r="D22" s="290" t="s">
        <v>128</v>
      </c>
      <c r="E22" s="136" t="s">
        <v>4</v>
      </c>
      <c r="F22" s="434" t="s">
        <v>77</v>
      </c>
      <c r="G22" s="435"/>
      <c r="H22" s="433" t="s">
        <v>75</v>
      </c>
      <c r="I22" s="435"/>
      <c r="J22" s="297" t="s">
        <v>4</v>
      </c>
      <c r="K22" s="293" t="s">
        <v>78</v>
      </c>
      <c r="L22" s="293" t="s">
        <v>79</v>
      </c>
      <c r="M22" s="292"/>
      <c r="N22" s="292"/>
      <c r="O22" s="300"/>
    </row>
    <row r="23" spans="1:15" ht="12" customHeight="1">
      <c r="A23" s="348" t="s">
        <v>126</v>
      </c>
      <c r="B23" s="418"/>
      <c r="C23" s="449" t="s">
        <v>122</v>
      </c>
      <c r="D23" s="454">
        <f>IF(L23=TRUE,$D$5*N23,"")</f>
      </c>
      <c r="E23" s="456">
        <f>IF(L23=TRUE,$D$5*J23,"")</f>
      </c>
      <c r="F23" s="454">
        <f>IF(L23=TRUE,D23-1.96*E23,"")</f>
      </c>
      <c r="G23" s="455">
        <f>IF(L23=TRUE,D23+1.96*E23,"")</f>
      </c>
      <c r="H23" s="450">
        <f>IF(L23=TRUE,IF(B23=0,0,$D$5*B23/(B23+(B24-B23+1)*FINV(0.025,2*K23+2,2*B23))),"")</f>
      </c>
      <c r="I23" s="455">
        <f>IF(L23=TRUE,IF(B23=B24,$D$5,$D$5*(B23+1)/(B23+1+K23/FINV(0.025,2*B23+2,2*K23))),"")</f>
      </c>
      <c r="J23" s="297">
        <f>IF(L23=TRUE,SQRT(N23*N24/B24),"")</f>
      </c>
      <c r="K23" s="294">
        <f>B24-B23</f>
        <v>0</v>
      </c>
      <c r="L23" s="295" t="b">
        <f>AND(B24&gt;0,B24&gt;=B23,ROUND(B23,0)=B23,ROUND(B24,0)=B24)</f>
        <v>0</v>
      </c>
      <c r="M23" s="296"/>
      <c r="N23" s="292" t="e">
        <f>B23/B24</f>
        <v>#DIV/0!</v>
      </c>
      <c r="O23" s="300" t="s">
        <v>50</v>
      </c>
    </row>
    <row r="24" spans="1:15" ht="12" customHeight="1">
      <c r="A24" s="360" t="s">
        <v>127</v>
      </c>
      <c r="B24" s="457"/>
      <c r="C24" s="449" t="s">
        <v>123</v>
      </c>
      <c r="D24" s="138">
        <f>IF(L23=TRUE,N25,"")</f>
      </c>
      <c r="E24" s="137"/>
      <c r="F24" s="138">
        <f>IF(L23=TRUE,EXP(F25),"")</f>
      </c>
      <c r="G24" s="139">
        <f>IF(L23=TRUE,EXP(G25),"")</f>
      </c>
      <c r="H24" s="453">
        <f>IF(L23=TRUE,(H23/$D$5)/(1-H23/$D$5),"")</f>
      </c>
      <c r="I24" s="139">
        <f>IF(L23=TRUE,(I23/$D$5)/(1-I23/$D$5),"")</f>
      </c>
      <c r="J24" s="297"/>
      <c r="K24" s="294"/>
      <c r="L24" s="293"/>
      <c r="M24" s="296"/>
      <c r="N24" s="292" t="e">
        <f>1-N23</f>
        <v>#DIV/0!</v>
      </c>
      <c r="O24" s="300" t="s">
        <v>120</v>
      </c>
    </row>
    <row r="25" spans="1:15" ht="12" customHeight="1">
      <c r="A25" s="40"/>
      <c r="B25" s="40"/>
      <c r="C25" s="451" t="s">
        <v>124</v>
      </c>
      <c r="D25" s="452">
        <f>IF(L23=TRUE,LN(D24),"")</f>
      </c>
      <c r="E25" s="452">
        <f>IF(L23=TRUE,SQRT(1/B23+1/K23),"")</f>
      </c>
      <c r="F25" s="452">
        <f>IF(L23=TRUE,D25-1.96*E25,"")</f>
      </c>
      <c r="G25" s="452">
        <f>IF(L23=TRUE,D25+1.96*E25,"")</f>
      </c>
      <c r="H25" s="40"/>
      <c r="I25" s="40"/>
      <c r="J25" s="298"/>
      <c r="K25" s="292"/>
      <c r="L25" s="292"/>
      <c r="M25" s="292"/>
      <c r="N25" s="292" t="e">
        <f>N23/N24</f>
        <v>#DIV/0!</v>
      </c>
      <c r="O25" s="300" t="s">
        <v>121</v>
      </c>
    </row>
    <row r="26" spans="1:15" ht="12" customHeight="1">
      <c r="A26" s="40"/>
      <c r="B26" s="40"/>
      <c r="C26" s="40"/>
      <c r="D26" s="40"/>
      <c r="E26" s="40"/>
      <c r="F26" s="40"/>
      <c r="G26" s="40"/>
      <c r="H26" s="40"/>
      <c r="I26" s="40"/>
      <c r="J26" s="24"/>
      <c r="K26" s="24"/>
      <c r="L26" s="24"/>
      <c r="M26" s="24"/>
      <c r="N26" s="24"/>
      <c r="O26" s="24"/>
    </row>
    <row r="27" spans="1:15" ht="12" customHeight="1">
      <c r="A27" s="40"/>
      <c r="B27" s="448"/>
      <c r="C27" s="448"/>
      <c r="D27" s="290" t="s">
        <v>128</v>
      </c>
      <c r="E27" s="136" t="s">
        <v>4</v>
      </c>
      <c r="F27" s="434" t="s">
        <v>77</v>
      </c>
      <c r="G27" s="435"/>
      <c r="H27" s="433" t="s">
        <v>75</v>
      </c>
      <c r="I27" s="435"/>
      <c r="J27" s="297" t="s">
        <v>4</v>
      </c>
      <c r="K27" s="293" t="s">
        <v>78</v>
      </c>
      <c r="L27" s="293" t="s">
        <v>79</v>
      </c>
      <c r="M27" s="292"/>
      <c r="N27" s="292"/>
      <c r="O27" s="300"/>
    </row>
    <row r="28" spans="1:15" ht="12" customHeight="1">
      <c r="A28" s="348" t="s">
        <v>126</v>
      </c>
      <c r="B28" s="418"/>
      <c r="C28" s="449" t="s">
        <v>122</v>
      </c>
      <c r="D28" s="454">
        <f>IF(L28=TRUE,$D$5*N28,"")</f>
      </c>
      <c r="E28" s="456">
        <f>IF(L28=TRUE,$D$5*J28,"")</f>
      </c>
      <c r="F28" s="454">
        <f>IF(L28=TRUE,D28-1.96*E28,"")</f>
      </c>
      <c r="G28" s="455">
        <f>IF(L28=TRUE,D28+1.96*E28,"")</f>
      </c>
      <c r="H28" s="450">
        <f>IF(L28=TRUE,IF(B28=0,0,$D$5*B28/(B28+(B29-B28+1)*FINV(0.025,2*K28+2,2*B28))),"")</f>
      </c>
      <c r="I28" s="455">
        <f>IF(L28=TRUE,IF(B28=B29,$D$5,$D$5*(B28+1)/(B28+1+K28/FINV(0.025,2*B28+2,2*K28))),"")</f>
      </c>
      <c r="J28" s="297">
        <f>IF(L28=TRUE,SQRT(N28*N29/B29),"")</f>
      </c>
      <c r="K28" s="294">
        <f>B29-B28</f>
        <v>0</v>
      </c>
      <c r="L28" s="295" t="b">
        <f>AND(B29&gt;0,B29&gt;=B28,ROUND(B28,0)=B28,ROUND(B29,0)=B29)</f>
        <v>0</v>
      </c>
      <c r="M28" s="296"/>
      <c r="N28" s="292" t="e">
        <f>B28/B29</f>
        <v>#DIV/0!</v>
      </c>
      <c r="O28" s="300" t="s">
        <v>50</v>
      </c>
    </row>
    <row r="29" spans="1:15" ht="12" customHeight="1">
      <c r="A29" s="360" t="s">
        <v>127</v>
      </c>
      <c r="B29" s="457"/>
      <c r="C29" s="449" t="s">
        <v>123</v>
      </c>
      <c r="D29" s="138">
        <f>IF(L28=TRUE,N30,"")</f>
      </c>
      <c r="E29" s="137"/>
      <c r="F29" s="138">
        <f>IF(L28=TRUE,EXP(F30),"")</f>
      </c>
      <c r="G29" s="139">
        <f>IF(L28=TRUE,EXP(G30),"")</f>
      </c>
      <c r="H29" s="453">
        <f>IF(L28=TRUE,(H28/$D$5)/(1-H28/$D$5),"")</f>
      </c>
      <c r="I29" s="139">
        <f>IF(L28=TRUE,(I28/$D$5)/(1-I28/$D$5),"")</f>
      </c>
      <c r="J29" s="297"/>
      <c r="K29" s="294"/>
      <c r="L29" s="293"/>
      <c r="M29" s="296"/>
      <c r="N29" s="292" t="e">
        <f>1-N28</f>
        <v>#DIV/0!</v>
      </c>
      <c r="O29" s="300" t="s">
        <v>120</v>
      </c>
    </row>
    <row r="30" spans="1:15" ht="12" customHeight="1">
      <c r="A30" s="40"/>
      <c r="B30" s="40"/>
      <c r="C30" s="451" t="s">
        <v>124</v>
      </c>
      <c r="D30" s="452">
        <f>IF(L28=TRUE,LN(D29),"")</f>
      </c>
      <c r="E30" s="452">
        <f>IF(L28=TRUE,SQRT(1/B28+1/K28),"")</f>
      </c>
      <c r="F30" s="452">
        <f>IF(L28=TRUE,D30-1.96*E30,"")</f>
      </c>
      <c r="G30" s="452">
        <f>IF(L28=TRUE,D30+1.96*E30,"")</f>
      </c>
      <c r="H30" s="40"/>
      <c r="I30" s="40"/>
      <c r="J30" s="298"/>
      <c r="K30" s="292"/>
      <c r="L30" s="292"/>
      <c r="M30" s="292"/>
      <c r="N30" s="292" t="e">
        <f>N28/N29</f>
        <v>#DIV/0!</v>
      </c>
      <c r="O30" s="300" t="s">
        <v>121</v>
      </c>
    </row>
    <row r="31" spans="1:15" ht="12" customHeight="1">
      <c r="A31" s="40"/>
      <c r="B31" s="40"/>
      <c r="C31" s="40"/>
      <c r="D31" s="40"/>
      <c r="E31" s="40"/>
      <c r="F31" s="40"/>
      <c r="G31" s="40"/>
      <c r="H31" s="40"/>
      <c r="I31" s="40"/>
      <c r="J31" s="24"/>
      <c r="K31" s="24"/>
      <c r="L31" s="24"/>
      <c r="M31" s="24"/>
      <c r="N31" s="24"/>
      <c r="O31" s="24"/>
    </row>
    <row r="32" spans="1:15" ht="12" customHeight="1">
      <c r="A32" s="40"/>
      <c r="B32" s="448"/>
      <c r="C32" s="448"/>
      <c r="D32" s="290" t="s">
        <v>128</v>
      </c>
      <c r="E32" s="136" t="s">
        <v>4</v>
      </c>
      <c r="F32" s="434" t="s">
        <v>77</v>
      </c>
      <c r="G32" s="435"/>
      <c r="H32" s="433" t="s">
        <v>75</v>
      </c>
      <c r="I32" s="435"/>
      <c r="J32" s="297" t="s">
        <v>4</v>
      </c>
      <c r="K32" s="293" t="s">
        <v>78</v>
      </c>
      <c r="L32" s="293" t="s">
        <v>79</v>
      </c>
      <c r="M32" s="292"/>
      <c r="N32" s="292"/>
      <c r="O32" s="300"/>
    </row>
    <row r="33" spans="1:15" ht="12" customHeight="1">
      <c r="A33" s="348" t="s">
        <v>126</v>
      </c>
      <c r="B33" s="418"/>
      <c r="C33" s="449" t="s">
        <v>122</v>
      </c>
      <c r="D33" s="454">
        <f>IF(L33=TRUE,$D$5*N33,"")</f>
      </c>
      <c r="E33" s="456">
        <f>IF(L33=TRUE,$D$5*J33,"")</f>
      </c>
      <c r="F33" s="454">
        <f>IF(L33=TRUE,D33-1.96*E33,"")</f>
      </c>
      <c r="G33" s="455">
        <f>IF(L33=TRUE,D33+1.96*E33,"")</f>
      </c>
      <c r="H33" s="450">
        <f>IF(L33=TRUE,IF(B33=0,0,$D$5*B33/(B33+(B34-B33+1)*FINV(0.025,2*K33+2,2*B33))),"")</f>
      </c>
      <c r="I33" s="455">
        <f>IF(L33=TRUE,IF(B33=B34,$D$5,$D$5*(B33+1)/(B33+1+K33/FINV(0.025,2*B33+2,2*K33))),"")</f>
      </c>
      <c r="J33" s="297">
        <f>IF(L33=TRUE,SQRT(N33*N34/B34),"")</f>
      </c>
      <c r="K33" s="294">
        <f>B34-B33</f>
        <v>0</v>
      </c>
      <c r="L33" s="295" t="b">
        <f>AND(B34&gt;0,B34&gt;=B33,ROUND(B33,0)=B33,ROUND(B34,0)=B34)</f>
        <v>0</v>
      </c>
      <c r="M33" s="296"/>
      <c r="N33" s="292" t="e">
        <f>B33/B34</f>
        <v>#DIV/0!</v>
      </c>
      <c r="O33" s="300" t="s">
        <v>50</v>
      </c>
    </row>
    <row r="34" spans="1:15" ht="12" customHeight="1">
      <c r="A34" s="360" t="s">
        <v>127</v>
      </c>
      <c r="B34" s="457"/>
      <c r="C34" s="449" t="s">
        <v>123</v>
      </c>
      <c r="D34" s="138">
        <f>IF(L33=TRUE,N35,"")</f>
      </c>
      <c r="E34" s="137"/>
      <c r="F34" s="138">
        <f>IF(L33=TRUE,EXP(F35),"")</f>
      </c>
      <c r="G34" s="139">
        <f>IF(L33=TRUE,EXP(G35),"")</f>
      </c>
      <c r="H34" s="453">
        <f>IF(L33=TRUE,(H33/$D$5)/(1-H33/$D$5),"")</f>
      </c>
      <c r="I34" s="139">
        <f>IF(L33=TRUE,(I33/$D$5)/(1-I33/$D$5),"")</f>
      </c>
      <c r="J34" s="297"/>
      <c r="K34" s="294"/>
      <c r="L34" s="293"/>
      <c r="M34" s="296"/>
      <c r="N34" s="292" t="e">
        <f>1-N33</f>
        <v>#DIV/0!</v>
      </c>
      <c r="O34" s="300" t="s">
        <v>120</v>
      </c>
    </row>
    <row r="35" spans="1:15" ht="12" customHeight="1">
      <c r="A35" s="40"/>
      <c r="B35" s="40"/>
      <c r="C35" s="451" t="s">
        <v>124</v>
      </c>
      <c r="D35" s="452">
        <f>IF(L33=TRUE,LN(D34),"")</f>
      </c>
      <c r="E35" s="452">
        <f>IF(L33=TRUE,SQRT(1/B33+1/K33),"")</f>
      </c>
      <c r="F35" s="452">
        <f>IF(L33=TRUE,D35-1.96*E35,"")</f>
      </c>
      <c r="G35" s="452">
        <f>IF(L33=TRUE,D35+1.96*E35,"")</f>
      </c>
      <c r="H35" s="40"/>
      <c r="I35" s="40"/>
      <c r="J35" s="298"/>
      <c r="K35" s="292"/>
      <c r="L35" s="292"/>
      <c r="M35" s="292"/>
      <c r="N35" s="292" t="e">
        <f>N33/N34</f>
        <v>#DIV/0!</v>
      </c>
      <c r="O35" s="300" t="s">
        <v>121</v>
      </c>
    </row>
    <row r="36" spans="1:15" ht="12" customHeight="1">
      <c r="A36" s="40"/>
      <c r="B36" s="40"/>
      <c r="C36" s="40"/>
      <c r="D36" s="40"/>
      <c r="E36" s="40"/>
      <c r="F36" s="40"/>
      <c r="G36" s="40"/>
      <c r="H36" s="40"/>
      <c r="I36" s="40"/>
      <c r="J36" s="24"/>
      <c r="K36" s="24"/>
      <c r="L36" s="24"/>
      <c r="M36" s="24"/>
      <c r="N36" s="24"/>
      <c r="O36" s="24"/>
    </row>
    <row r="37" spans="1:15" ht="12" customHeight="1">
      <c r="A37" s="40"/>
      <c r="B37" s="448"/>
      <c r="C37" s="448"/>
      <c r="D37" s="290" t="s">
        <v>128</v>
      </c>
      <c r="E37" s="136" t="s">
        <v>4</v>
      </c>
      <c r="F37" s="434" t="s">
        <v>77</v>
      </c>
      <c r="G37" s="435"/>
      <c r="H37" s="433" t="s">
        <v>75</v>
      </c>
      <c r="I37" s="435"/>
      <c r="J37" s="297" t="s">
        <v>4</v>
      </c>
      <c r="K37" s="293" t="s">
        <v>78</v>
      </c>
      <c r="L37" s="293" t="s">
        <v>79</v>
      </c>
      <c r="M37" s="292"/>
      <c r="N37" s="292"/>
      <c r="O37" s="300"/>
    </row>
    <row r="38" spans="1:15" ht="12.75">
      <c r="A38" s="348" t="s">
        <v>126</v>
      </c>
      <c r="B38" s="418"/>
      <c r="C38" s="449" t="s">
        <v>122</v>
      </c>
      <c r="D38" s="454">
        <f>IF(L38=TRUE,$D$5*N38,"")</f>
      </c>
      <c r="E38" s="456">
        <f>IF(L38=TRUE,$D$5*J38,"")</f>
      </c>
      <c r="F38" s="454">
        <f>IF(L38=TRUE,D38-1.96*E38,"")</f>
      </c>
      <c r="G38" s="455">
        <f>IF(L38=TRUE,D38+1.96*E38,"")</f>
      </c>
      <c r="H38" s="450">
        <f>IF(L38=TRUE,IF(B38=0,0,$D$5*B38/(B38+(B39-B38+1)*FINV(0.025,2*K38+2,2*B38))),"")</f>
      </c>
      <c r="I38" s="455">
        <f>IF(L38=TRUE,IF(B38=B39,$D$5,$D$5*(B38+1)/(B38+1+K38/FINV(0.025,2*B38+2,2*K38))),"")</f>
      </c>
      <c r="J38" s="297">
        <f>IF(L38=TRUE,SQRT(N38*N39/B39),"")</f>
      </c>
      <c r="K38" s="294">
        <f>B39-B38</f>
        <v>0</v>
      </c>
      <c r="L38" s="295" t="b">
        <f>AND(B39&gt;0,B39&gt;=B38,ROUND(B38,0)=B38,ROUND(B39,0)=B39)</f>
        <v>0</v>
      </c>
      <c r="M38" s="296"/>
      <c r="N38" s="292" t="e">
        <f>B38/B39</f>
        <v>#DIV/0!</v>
      </c>
      <c r="O38" s="300" t="s">
        <v>50</v>
      </c>
    </row>
    <row r="39" spans="1:15" ht="12.75">
      <c r="A39" s="360" t="s">
        <v>127</v>
      </c>
      <c r="B39" s="457"/>
      <c r="C39" s="449" t="s">
        <v>123</v>
      </c>
      <c r="D39" s="138">
        <f>IF(L38=TRUE,N40,"")</f>
      </c>
      <c r="E39" s="137"/>
      <c r="F39" s="138">
        <f>IF(L38=TRUE,EXP(F40),"")</f>
      </c>
      <c r="G39" s="139">
        <f>IF(L38=TRUE,EXP(G40),"")</f>
      </c>
      <c r="H39" s="453">
        <f>IF(L38=TRUE,(H38/$D$5)/(1-H38/$D$5),"")</f>
      </c>
      <c r="I39" s="139">
        <f>IF(L38=TRUE,(I38/$D$5)/(1-I38/$D$5),"")</f>
      </c>
      <c r="J39" s="297"/>
      <c r="K39" s="294"/>
      <c r="L39" s="293"/>
      <c r="M39" s="296"/>
      <c r="N39" s="292" t="e">
        <f>1-N38</f>
        <v>#DIV/0!</v>
      </c>
      <c r="O39" s="300" t="s">
        <v>120</v>
      </c>
    </row>
    <row r="40" spans="1:15" ht="12.75">
      <c r="A40" s="40"/>
      <c r="B40" s="40"/>
      <c r="C40" s="451" t="s">
        <v>124</v>
      </c>
      <c r="D40" s="452">
        <f>IF(L38=TRUE,LN(D39),"")</f>
      </c>
      <c r="E40" s="452">
        <f>IF(L38=TRUE,SQRT(1/B38+1/K38),"")</f>
      </c>
      <c r="F40" s="452">
        <f>IF(L38=TRUE,D40-1.96*E40,"")</f>
      </c>
      <c r="G40" s="452">
        <f>IF(L38=TRUE,D40+1.96*E40,"")</f>
      </c>
      <c r="H40" s="40"/>
      <c r="I40" s="40"/>
      <c r="J40" s="298"/>
      <c r="K40" s="292"/>
      <c r="L40" s="292"/>
      <c r="M40" s="292"/>
      <c r="N40" s="292" t="e">
        <f>N38/N39</f>
        <v>#DIV/0!</v>
      </c>
      <c r="O40" s="300" t="s">
        <v>121</v>
      </c>
    </row>
    <row r="41" spans="1:15" ht="12.75">
      <c r="A41" s="40"/>
      <c r="B41" s="40"/>
      <c r="C41" s="40"/>
      <c r="D41" s="40"/>
      <c r="E41" s="40"/>
      <c r="F41" s="40"/>
      <c r="G41" s="40"/>
      <c r="H41" s="40"/>
      <c r="I41" s="40"/>
      <c r="J41" s="24"/>
      <c r="K41" s="24"/>
      <c r="L41" s="24"/>
      <c r="M41" s="24"/>
      <c r="N41" s="24"/>
      <c r="O41" s="24"/>
    </row>
    <row r="42" spans="1:15" ht="12.75">
      <c r="A42" s="40"/>
      <c r="B42" s="448"/>
      <c r="C42" s="448"/>
      <c r="D42" s="290" t="s">
        <v>128</v>
      </c>
      <c r="E42" s="136" t="s">
        <v>4</v>
      </c>
      <c r="F42" s="434" t="s">
        <v>77</v>
      </c>
      <c r="G42" s="435"/>
      <c r="H42" s="433" t="s">
        <v>75</v>
      </c>
      <c r="I42" s="435"/>
      <c r="J42" s="297" t="s">
        <v>4</v>
      </c>
      <c r="K42" s="293" t="s">
        <v>78</v>
      </c>
      <c r="L42" s="293" t="s">
        <v>79</v>
      </c>
      <c r="M42" s="292"/>
      <c r="N42" s="292"/>
      <c r="O42" s="300"/>
    </row>
    <row r="43" spans="1:15" ht="12.75">
      <c r="A43" s="348" t="s">
        <v>126</v>
      </c>
      <c r="B43" s="418"/>
      <c r="C43" s="449" t="s">
        <v>122</v>
      </c>
      <c r="D43" s="454">
        <f>IF(L43=TRUE,$D$5*N43,"")</f>
      </c>
      <c r="E43" s="456">
        <f>IF(L43=TRUE,$D$5*J43,"")</f>
      </c>
      <c r="F43" s="454">
        <f>IF(L43=TRUE,D43-1.96*E43,"")</f>
      </c>
      <c r="G43" s="455">
        <f>IF(L43=TRUE,D43+1.96*E43,"")</f>
      </c>
      <c r="H43" s="450">
        <f>IF(L43=TRUE,IF(B43=0,0,$D$5*B43/(B43+(B44-B43+1)*FINV(0.025,2*K43+2,2*B43))),"")</f>
      </c>
      <c r="I43" s="455">
        <f>IF(L43=TRUE,IF(B43=B44,$D$5,$D$5*(B43+1)/(B43+1+K43/FINV(0.025,2*B43+2,2*K43))),"")</f>
      </c>
      <c r="J43" s="297">
        <f>IF(L43=TRUE,SQRT(N43*N44/B44),"")</f>
      </c>
      <c r="K43" s="294">
        <f>B44-B43</f>
        <v>0</v>
      </c>
      <c r="L43" s="295" t="b">
        <f>AND(B44&gt;0,B44&gt;=B43,ROUND(B43,0)=B43,ROUND(B44,0)=B44)</f>
        <v>0</v>
      </c>
      <c r="M43" s="296"/>
      <c r="N43" s="292" t="e">
        <f>B43/B44</f>
        <v>#DIV/0!</v>
      </c>
      <c r="O43" s="300" t="s">
        <v>50</v>
      </c>
    </row>
    <row r="44" spans="1:15" ht="12.75">
      <c r="A44" s="360" t="s">
        <v>127</v>
      </c>
      <c r="B44" s="457"/>
      <c r="C44" s="449" t="s">
        <v>123</v>
      </c>
      <c r="D44" s="138">
        <f>IF(L43=TRUE,N45,"")</f>
      </c>
      <c r="E44" s="137"/>
      <c r="F44" s="138">
        <f>IF(L43=TRUE,EXP(F45),"")</f>
      </c>
      <c r="G44" s="139">
        <f>IF(L43=TRUE,EXP(G45),"")</f>
      </c>
      <c r="H44" s="453">
        <f>IF(L43=TRUE,(H43/$D$5)/(1-H43/$D$5),"")</f>
      </c>
      <c r="I44" s="139">
        <f>IF(L43=TRUE,(I43/$D$5)/(1-I43/$D$5),"")</f>
      </c>
      <c r="J44" s="297"/>
      <c r="K44" s="294"/>
      <c r="L44" s="293"/>
      <c r="M44" s="296"/>
      <c r="N44" s="292" t="e">
        <f>1-N43</f>
        <v>#DIV/0!</v>
      </c>
      <c r="O44" s="300" t="s">
        <v>120</v>
      </c>
    </row>
    <row r="45" spans="1:15" ht="12.75">
      <c r="A45" s="40"/>
      <c r="B45" s="40"/>
      <c r="C45" s="451" t="s">
        <v>124</v>
      </c>
      <c r="D45" s="452">
        <f>IF(L43=TRUE,LN(D44),"")</f>
      </c>
      <c r="E45" s="452">
        <f>IF(L43=TRUE,SQRT(1/B43+1/K43),"")</f>
      </c>
      <c r="F45" s="452">
        <f>IF(L43=TRUE,D45-1.96*E45,"")</f>
      </c>
      <c r="G45" s="452">
        <f>IF(L43=TRUE,D45+1.96*E45,"")</f>
      </c>
      <c r="H45" s="40"/>
      <c r="I45" s="40"/>
      <c r="J45" s="298"/>
      <c r="K45" s="292"/>
      <c r="L45" s="292"/>
      <c r="M45" s="292"/>
      <c r="N45" s="292" t="e">
        <f>N43/N44</f>
        <v>#DIV/0!</v>
      </c>
      <c r="O45" s="300" t="s">
        <v>121</v>
      </c>
    </row>
    <row r="46" spans="1:15" ht="12.75">
      <c r="A46" s="40"/>
      <c r="B46" s="40"/>
      <c r="C46" s="40"/>
      <c r="D46" s="40"/>
      <c r="E46" s="40"/>
      <c r="F46" s="40"/>
      <c r="G46" s="40"/>
      <c r="H46" s="40"/>
      <c r="I46" s="40"/>
      <c r="J46" s="24"/>
      <c r="K46" s="24"/>
      <c r="L46" s="24"/>
      <c r="M46" s="24"/>
      <c r="N46" s="24"/>
      <c r="O46" s="24"/>
    </row>
  </sheetData>
  <sheetProtection sheet="1" objects="1" scenarios="1"/>
  <mergeCells count="19">
    <mergeCell ref="F37:G37"/>
    <mergeCell ref="H37:I37"/>
    <mergeCell ref="F42:G42"/>
    <mergeCell ref="H42:I42"/>
    <mergeCell ref="F27:G27"/>
    <mergeCell ref="H27:I27"/>
    <mergeCell ref="F32:G32"/>
    <mergeCell ref="H32:I32"/>
    <mergeCell ref="F22:G22"/>
    <mergeCell ref="H22:I22"/>
    <mergeCell ref="F12:G12"/>
    <mergeCell ref="H12:I12"/>
    <mergeCell ref="F17:G17"/>
    <mergeCell ref="H17:I17"/>
    <mergeCell ref="B5:C5"/>
    <mergeCell ref="F7:G7"/>
    <mergeCell ref="H7:I7"/>
    <mergeCell ref="B1:F1"/>
    <mergeCell ref="I1:I2"/>
  </mergeCells>
  <conditionalFormatting sqref="C10:G10">
    <cfRule type="expression" priority="1" dxfId="0" stopIfTrue="1">
      <formula>"L9=sand"</formula>
    </cfRule>
  </conditionalFormatting>
  <hyperlinks>
    <hyperlink ref="I1:I2" location="Start!A1" display="Start"/>
  </hyperlinks>
  <printOptions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J45"/>
  <sheetViews>
    <sheetView workbookViewId="0" topLeftCell="A1">
      <selection activeCell="D4" sqref="D4"/>
    </sheetView>
  </sheetViews>
  <sheetFormatPr defaultColWidth="9.140625" defaultRowHeight="12.75"/>
  <cols>
    <col min="1" max="1" width="8.7109375" style="0" customWidth="1"/>
    <col min="2" max="2" width="12.7109375" style="0" customWidth="1"/>
    <col min="3" max="8" width="9.7109375" style="0" customWidth="1"/>
    <col min="9" max="9" width="10.421875" style="0" hidden="1" customWidth="1"/>
    <col min="10" max="10" width="0" style="0" hidden="1" customWidth="1"/>
  </cols>
  <sheetData>
    <row r="1" spans="1:8" ht="12.75">
      <c r="A1" s="7" t="s">
        <v>171</v>
      </c>
      <c r="B1" s="469" t="s">
        <v>172</v>
      </c>
      <c r="C1" s="469"/>
      <c r="D1" s="469"/>
      <c r="E1" s="7"/>
      <c r="H1" s="470" t="s">
        <v>218</v>
      </c>
    </row>
    <row r="2" spans="1:8" ht="12.75">
      <c r="A2" s="7"/>
      <c r="B2" s="326"/>
      <c r="C2" s="326"/>
      <c r="D2" s="326"/>
      <c r="E2" s="7"/>
      <c r="H2" s="471"/>
    </row>
    <row r="3" spans="5:8" ht="12.75">
      <c r="E3" s="15" t="s">
        <v>76</v>
      </c>
      <c r="G3" s="10"/>
      <c r="H3" s="10"/>
    </row>
    <row r="4" spans="1:8" ht="12" customHeight="1">
      <c r="A4" s="24" t="s">
        <v>28</v>
      </c>
      <c r="B4" s="145">
        <v>1000</v>
      </c>
      <c r="C4" s="24"/>
      <c r="D4" s="24"/>
      <c r="E4" s="24"/>
      <c r="F4" s="24"/>
      <c r="G4" s="24"/>
      <c r="H4" s="24"/>
    </row>
    <row r="5" spans="1:8" ht="12" customHeight="1">
      <c r="A5" s="24"/>
      <c r="B5" s="146"/>
      <c r="C5" s="24"/>
      <c r="D5" s="24"/>
      <c r="E5" s="24"/>
      <c r="F5" s="24"/>
      <c r="G5" s="24"/>
      <c r="H5" s="24"/>
    </row>
    <row r="6" spans="1:10" s="10" customFormat="1" ht="12" customHeight="1">
      <c r="A6" s="420" t="s">
        <v>10</v>
      </c>
      <c r="B6" s="421" t="s">
        <v>11</v>
      </c>
      <c r="C6" s="136" t="s">
        <v>12</v>
      </c>
      <c r="D6" s="147" t="s">
        <v>4</v>
      </c>
      <c r="E6" s="434" t="s">
        <v>77</v>
      </c>
      <c r="F6" s="435"/>
      <c r="G6" s="440" t="s">
        <v>75</v>
      </c>
      <c r="H6" s="441"/>
      <c r="I6" s="10" t="s">
        <v>80</v>
      </c>
      <c r="J6" s="10" t="s">
        <v>81</v>
      </c>
    </row>
    <row r="7" spans="1:10" s="13" customFormat="1" ht="12" customHeight="1">
      <c r="A7" s="422">
        <v>23</v>
      </c>
      <c r="B7" s="423">
        <v>1074</v>
      </c>
      <c r="C7" s="137">
        <f>IF(I7=TRUE,$B$4*A7/B7,"Invalid")</f>
        <v>21.415270018621975</v>
      </c>
      <c r="D7" s="148"/>
      <c r="E7" s="138">
        <f>IF(J7=TRUE,$B$4*EXP(E8),"")</f>
        <v>14.230904433308186</v>
      </c>
      <c r="F7" s="139">
        <f>IF(J7=TRUE,$B$4*EXP(F8),"")</f>
        <v>32.22660879494626</v>
      </c>
      <c r="G7" s="141">
        <f>IF(J7=TRUE,$B$4*0.5*CHIINV(0.975,2*A7)/B7,IF(I7=TRUE,0,""))</f>
        <v>13.575444379452144</v>
      </c>
      <c r="H7" s="144">
        <f>IF(I7=TRUE,$B$4*0.5*CHIINV(0.025,2*A7+2)/B7,"")</f>
        <v>32.13341984473492</v>
      </c>
      <c r="I7" s="13" t="b">
        <f>AND(A7&gt;=0,B7&gt;0,ROUND(A7,0)=A7)</f>
        <v>1</v>
      </c>
      <c r="J7" s="13" t="b">
        <f>AND(I7=TRUE,A7&gt;0)</f>
        <v>1</v>
      </c>
    </row>
    <row r="8" spans="1:8" ht="12" customHeight="1">
      <c r="A8" s="439" t="s">
        <v>70</v>
      </c>
      <c r="B8" s="439"/>
      <c r="C8" s="149">
        <f>IF(J7=TRUE,LN(A7/B7),"")</f>
        <v>-3.84365105913966</v>
      </c>
      <c r="D8" s="149">
        <f>IF(J7=TRUE,SQRT(1/A7),"")</f>
        <v>0.20851441405707477</v>
      </c>
      <c r="E8" s="150">
        <f>IF(J7=TRUE,C8-1.96*D8,"")</f>
        <v>-4.252339310691527</v>
      </c>
      <c r="F8" s="150">
        <f>IF(J7=TRUE,C8+1.96*D8,"")</f>
        <v>-3.4349628075877936</v>
      </c>
      <c r="G8" s="24"/>
      <c r="H8" s="24"/>
    </row>
    <row r="9" spans="1:8" ht="12" customHeight="1">
      <c r="A9" s="24"/>
      <c r="B9" s="24"/>
      <c r="C9" s="24"/>
      <c r="D9" s="24"/>
      <c r="E9" s="24"/>
      <c r="F9" s="24"/>
      <c r="G9" s="24"/>
      <c r="H9" s="24"/>
    </row>
    <row r="10" spans="1:10" ht="12" customHeight="1">
      <c r="A10" s="420" t="s">
        <v>10</v>
      </c>
      <c r="B10" s="421" t="s">
        <v>11</v>
      </c>
      <c r="C10" s="136" t="s">
        <v>12</v>
      </c>
      <c r="D10" s="147" t="s">
        <v>4</v>
      </c>
      <c r="E10" s="434" t="s">
        <v>77</v>
      </c>
      <c r="F10" s="435"/>
      <c r="G10" s="440" t="s">
        <v>75</v>
      </c>
      <c r="H10" s="441"/>
      <c r="I10" s="10" t="s">
        <v>80</v>
      </c>
      <c r="J10" s="10" t="s">
        <v>81</v>
      </c>
    </row>
    <row r="11" spans="1:10" ht="12" customHeight="1">
      <c r="A11" s="422"/>
      <c r="B11" s="423"/>
      <c r="C11" s="137">
        <f>IF(I11=TRUE,$B$4*A11/B11,"")</f>
      </c>
      <c r="D11" s="148"/>
      <c r="E11" s="138">
        <f>IF(J11=TRUE,$B$4*EXP(E12),"")</f>
      </c>
      <c r="F11" s="139">
        <f>IF(J11=TRUE,$B$4*EXP(F12),"")</f>
      </c>
      <c r="G11" s="141">
        <f>IF(J11=TRUE,$B$4*0.5*CHIINV(0.975,2*A11)/B11,IF(I11=TRUE,0,""))</f>
      </c>
      <c r="H11" s="144">
        <f>IF(I11=TRUE,$B$4*0.5*CHIINV(0.025,2*A11+2)/B11,"")</f>
      </c>
      <c r="I11" s="13" t="b">
        <f>AND(A11&gt;=0,B11&gt;0,ROUND(A11,0)=A11)</f>
        <v>0</v>
      </c>
      <c r="J11" s="13" t="b">
        <f>AND(I11=TRUE,A11&gt;0)</f>
        <v>0</v>
      </c>
    </row>
    <row r="12" spans="1:8" ht="12" customHeight="1">
      <c r="A12" s="439" t="s">
        <v>70</v>
      </c>
      <c r="B12" s="439"/>
      <c r="C12" s="149">
        <f>IF(J11=TRUE,LN(A11/B11),"")</f>
      </c>
      <c r="D12" s="149">
        <f>IF(J11=TRUE,SQRT(1/A11),"")</f>
      </c>
      <c r="E12" s="150">
        <f>IF(J11=TRUE,C12-1.96*D12,"")</f>
      </c>
      <c r="F12" s="150">
        <f>IF(J11=TRUE,C12+1.96*D12,"")</f>
      </c>
      <c r="G12" s="24"/>
      <c r="H12" s="24"/>
    </row>
    <row r="13" spans="1:8" ht="12" customHeight="1">
      <c r="A13" s="24"/>
      <c r="B13" s="24"/>
      <c r="C13" s="24"/>
      <c r="D13" s="24"/>
      <c r="E13" s="24"/>
      <c r="F13" s="24"/>
      <c r="G13" s="24"/>
      <c r="H13" s="24"/>
    </row>
    <row r="14" spans="1:10" ht="12" customHeight="1">
      <c r="A14" s="420" t="s">
        <v>10</v>
      </c>
      <c r="B14" s="421" t="s">
        <v>11</v>
      </c>
      <c r="C14" s="136" t="s">
        <v>12</v>
      </c>
      <c r="D14" s="147" t="s">
        <v>4</v>
      </c>
      <c r="E14" s="434" t="s">
        <v>77</v>
      </c>
      <c r="F14" s="435"/>
      <c r="G14" s="440" t="s">
        <v>75</v>
      </c>
      <c r="H14" s="441"/>
      <c r="I14" s="10" t="s">
        <v>80</v>
      </c>
      <c r="J14" s="10" t="s">
        <v>81</v>
      </c>
    </row>
    <row r="15" spans="1:10" ht="12" customHeight="1">
      <c r="A15" s="422"/>
      <c r="B15" s="423"/>
      <c r="C15" s="137">
        <f>IF(I15=TRUE,$B$4*A15/B15,"")</f>
      </c>
      <c r="D15" s="148"/>
      <c r="E15" s="138">
        <f>IF(J15=TRUE,$B$4*EXP(E16),"")</f>
      </c>
      <c r="F15" s="139">
        <f>IF(J15=TRUE,$B$4*EXP(F16),"")</f>
      </c>
      <c r="G15" s="141">
        <f>IF(J15=TRUE,$B$4*0.5*CHIINV(0.975,2*A15)/B15,IF(I15=TRUE,0,""))</f>
      </c>
      <c r="H15" s="144">
        <f>IF(I15=TRUE,$B$4*0.5*CHIINV(0.025,2*A15+2)/B15,"")</f>
      </c>
      <c r="I15" s="13" t="b">
        <f>AND(A15&gt;=0,B15&gt;0,ROUND(A15,0)=A15)</f>
        <v>0</v>
      </c>
      <c r="J15" s="13" t="b">
        <f>AND(I15=TRUE,A15&gt;0)</f>
        <v>0</v>
      </c>
    </row>
    <row r="16" spans="1:8" ht="12" customHeight="1">
      <c r="A16" s="439" t="s">
        <v>70</v>
      </c>
      <c r="B16" s="439"/>
      <c r="C16" s="149">
        <f>IF(J15=TRUE,LN(A15/B15),"")</f>
      </c>
      <c r="D16" s="149">
        <f>IF(J15=TRUE,SQRT(1/A15),"")</f>
      </c>
      <c r="E16" s="150">
        <f>IF(J15=TRUE,C16-1.96*D16,"")</f>
      </c>
      <c r="F16" s="150">
        <f>IF(J15=TRUE,C16+1.96*D16,"")</f>
      </c>
      <c r="G16" s="24"/>
      <c r="H16" s="24"/>
    </row>
    <row r="17" spans="1:8" ht="12" customHeight="1">
      <c r="A17" s="24"/>
      <c r="B17" s="24"/>
      <c r="C17" s="24"/>
      <c r="D17" s="24"/>
      <c r="E17" s="24"/>
      <c r="F17" s="24"/>
      <c r="G17" s="24"/>
      <c r="H17" s="24"/>
    </row>
    <row r="18" spans="1:10" ht="12" customHeight="1">
      <c r="A18" s="420" t="s">
        <v>10</v>
      </c>
      <c r="B18" s="421" t="s">
        <v>11</v>
      </c>
      <c r="C18" s="136" t="s">
        <v>12</v>
      </c>
      <c r="D18" s="147" t="s">
        <v>4</v>
      </c>
      <c r="E18" s="434" t="s">
        <v>77</v>
      </c>
      <c r="F18" s="435"/>
      <c r="G18" s="440" t="s">
        <v>75</v>
      </c>
      <c r="H18" s="441"/>
      <c r="I18" s="10" t="s">
        <v>80</v>
      </c>
      <c r="J18" s="10" t="s">
        <v>81</v>
      </c>
    </row>
    <row r="19" spans="1:10" ht="12" customHeight="1">
      <c r="A19" s="422"/>
      <c r="B19" s="423"/>
      <c r="C19" s="137">
        <f>IF(I19=TRUE,$B$4*A19/B19,"")</f>
      </c>
      <c r="D19" s="148"/>
      <c r="E19" s="138">
        <f>IF(J19=TRUE,$B$4*EXP(E20),"")</f>
      </c>
      <c r="F19" s="139">
        <f>IF(J19=TRUE,$B$4*EXP(F20),"")</f>
      </c>
      <c r="G19" s="141">
        <f>IF(J19=TRUE,$B$4*0.5*CHIINV(0.975,2*A19)/B19,IF(I19=TRUE,0,""))</f>
      </c>
      <c r="H19" s="144">
        <f>IF(I19=TRUE,$B$4*0.5*CHIINV(0.025,2*A19+2)/B19,"")</f>
      </c>
      <c r="I19" s="13" t="b">
        <f>AND(A19&gt;=0,B19&gt;0,ROUND(A19,0)=A19)</f>
        <v>0</v>
      </c>
      <c r="J19" s="13" t="b">
        <f>AND(I19=TRUE,A19&gt;0)</f>
        <v>0</v>
      </c>
    </row>
    <row r="20" spans="1:8" ht="12" customHeight="1">
      <c r="A20" s="439" t="s">
        <v>70</v>
      </c>
      <c r="B20" s="439"/>
      <c r="C20" s="149">
        <f>IF(J19=TRUE,LN(A19/B19),"")</f>
      </c>
      <c r="D20" s="149">
        <f>IF(J19=TRUE,SQRT(1/A19),"")</f>
      </c>
      <c r="E20" s="150">
        <f>IF(J19=TRUE,C20-1.96*D20,"")</f>
      </c>
      <c r="F20" s="150">
        <f>IF(J19=TRUE,C20+1.96*D20,"")</f>
      </c>
      <c r="G20" s="24"/>
      <c r="H20" s="24"/>
    </row>
    <row r="21" spans="1:8" ht="12" customHeight="1">
      <c r="A21" s="24"/>
      <c r="B21" s="24"/>
      <c r="C21" s="24"/>
      <c r="D21" s="24"/>
      <c r="E21" s="24"/>
      <c r="F21" s="24"/>
      <c r="G21" s="24"/>
      <c r="H21" s="24"/>
    </row>
    <row r="22" spans="1:10" ht="12" customHeight="1">
      <c r="A22" s="420" t="s">
        <v>10</v>
      </c>
      <c r="B22" s="421" t="s">
        <v>11</v>
      </c>
      <c r="C22" s="136" t="s">
        <v>12</v>
      </c>
      <c r="D22" s="147" t="s">
        <v>4</v>
      </c>
      <c r="E22" s="434" t="s">
        <v>77</v>
      </c>
      <c r="F22" s="435"/>
      <c r="G22" s="440" t="s">
        <v>75</v>
      </c>
      <c r="H22" s="441"/>
      <c r="I22" s="10" t="s">
        <v>80</v>
      </c>
      <c r="J22" s="10" t="s">
        <v>81</v>
      </c>
    </row>
    <row r="23" spans="1:10" ht="12" customHeight="1">
      <c r="A23" s="422"/>
      <c r="B23" s="423"/>
      <c r="C23" s="137">
        <f>IF(I23=TRUE,$B$4*A23/B23,"")</f>
      </c>
      <c r="D23" s="148"/>
      <c r="E23" s="138">
        <f>IF(J23=TRUE,$B$4*EXP(E24),"")</f>
      </c>
      <c r="F23" s="139">
        <f>IF(J23=TRUE,$B$4*EXP(F24),"")</f>
      </c>
      <c r="G23" s="141">
        <f>IF(J23=TRUE,$B$4*0.5*CHIINV(0.975,2*A23)/B23,IF(I23=TRUE,0,""))</f>
      </c>
      <c r="H23" s="144">
        <f>IF(I23=TRUE,$B$4*0.5*CHIINV(0.025,2*A23+2)/B23,"")</f>
      </c>
      <c r="I23" s="13" t="b">
        <f>AND(A23&gt;=0,B23&gt;0,ROUND(A23,0)=A23)</f>
        <v>0</v>
      </c>
      <c r="J23" s="13" t="b">
        <f>AND(I23=TRUE,A23&gt;0)</f>
        <v>0</v>
      </c>
    </row>
    <row r="24" spans="1:8" ht="12" customHeight="1">
      <c r="A24" s="439" t="s">
        <v>70</v>
      </c>
      <c r="B24" s="439"/>
      <c r="C24" s="149">
        <f>IF(J23=TRUE,LN(A23/B23),"")</f>
      </c>
      <c r="D24" s="149">
        <f>IF(J23=TRUE,SQRT(1/A23),"")</f>
      </c>
      <c r="E24" s="150">
        <f>IF(J23=TRUE,C24-1.96*D24,"")</f>
      </c>
      <c r="F24" s="150">
        <f>IF(J23=TRUE,C24+1.96*D24,"")</f>
      </c>
      <c r="G24" s="24"/>
      <c r="H24" s="24"/>
    </row>
    <row r="25" spans="1:8" ht="12" customHeight="1">
      <c r="A25" s="24"/>
      <c r="B25" s="24"/>
      <c r="C25" s="24"/>
      <c r="D25" s="24"/>
      <c r="E25" s="24"/>
      <c r="F25" s="24"/>
      <c r="G25" s="24"/>
      <c r="H25" s="24"/>
    </row>
    <row r="26" spans="1:10" ht="12" customHeight="1">
      <c r="A26" s="420" t="s">
        <v>10</v>
      </c>
      <c r="B26" s="421" t="s">
        <v>11</v>
      </c>
      <c r="C26" s="136" t="s">
        <v>12</v>
      </c>
      <c r="D26" s="147" t="s">
        <v>4</v>
      </c>
      <c r="E26" s="434" t="s">
        <v>77</v>
      </c>
      <c r="F26" s="435"/>
      <c r="G26" s="440" t="s">
        <v>75</v>
      </c>
      <c r="H26" s="441"/>
      <c r="I26" s="10" t="s">
        <v>80</v>
      </c>
      <c r="J26" s="10" t="s">
        <v>81</v>
      </c>
    </row>
    <row r="27" spans="1:10" ht="12" customHeight="1">
      <c r="A27" s="422"/>
      <c r="B27" s="423"/>
      <c r="C27" s="137">
        <f>IF(I27=TRUE,$B$4*A27/B27,"")</f>
      </c>
      <c r="D27" s="148"/>
      <c r="E27" s="138">
        <f>IF(J27=TRUE,$B$4*EXP(E28),"")</f>
      </c>
      <c r="F27" s="139">
        <f>IF(J27=TRUE,$B$4*EXP(F28),"")</f>
      </c>
      <c r="G27" s="141">
        <f>IF(J27=TRUE,$B$4*0.5*CHIINV(0.975,2*A27)/B27,IF(I27=TRUE,0,""))</f>
      </c>
      <c r="H27" s="144">
        <f>IF(I27=TRUE,$B$4*0.5*CHIINV(0.025,2*A27+2)/B27,"")</f>
      </c>
      <c r="I27" s="13" t="b">
        <f>AND(A27&gt;=0,B27&gt;0,ROUND(A27,0)=A27)</f>
        <v>0</v>
      </c>
      <c r="J27" s="13" t="b">
        <f>AND(I27=TRUE,A27&gt;0)</f>
        <v>0</v>
      </c>
    </row>
    <row r="28" spans="1:8" ht="12" customHeight="1">
      <c r="A28" s="439" t="s">
        <v>70</v>
      </c>
      <c r="B28" s="439"/>
      <c r="C28" s="149">
        <f>IF(J27=TRUE,LN(A27/B27),"")</f>
      </c>
      <c r="D28" s="149">
        <f>IF(J27=TRUE,SQRT(1/A27),"")</f>
      </c>
      <c r="E28" s="150">
        <f>IF(J27=TRUE,C28-1.96*D28,"")</f>
      </c>
      <c r="F28" s="150">
        <f>IF(J27=TRUE,C28+1.96*D28,"")</f>
      </c>
      <c r="G28" s="24"/>
      <c r="H28" s="24"/>
    </row>
    <row r="29" spans="1:8" ht="12" customHeight="1">
      <c r="A29" s="24"/>
      <c r="B29" s="24"/>
      <c r="C29" s="24"/>
      <c r="D29" s="24"/>
      <c r="E29" s="24"/>
      <c r="F29" s="24"/>
      <c r="G29" s="24"/>
      <c r="H29" s="24"/>
    </row>
    <row r="30" spans="1:10" ht="12" customHeight="1">
      <c r="A30" s="420" t="s">
        <v>10</v>
      </c>
      <c r="B30" s="421" t="s">
        <v>11</v>
      </c>
      <c r="C30" s="136" t="s">
        <v>12</v>
      </c>
      <c r="D30" s="147" t="s">
        <v>4</v>
      </c>
      <c r="E30" s="434" t="s">
        <v>77</v>
      </c>
      <c r="F30" s="435"/>
      <c r="G30" s="440" t="s">
        <v>75</v>
      </c>
      <c r="H30" s="441"/>
      <c r="I30" s="10" t="s">
        <v>80</v>
      </c>
      <c r="J30" s="10" t="s">
        <v>81</v>
      </c>
    </row>
    <row r="31" spans="1:10" ht="12" customHeight="1">
      <c r="A31" s="422"/>
      <c r="B31" s="423"/>
      <c r="C31" s="137">
        <f>IF(I31=TRUE,$B$4*A31/B31,"")</f>
      </c>
      <c r="D31" s="148"/>
      <c r="E31" s="138">
        <f>IF(J31=TRUE,$B$4*EXP(E32),"")</f>
      </c>
      <c r="F31" s="139">
        <f>IF(J31=TRUE,$B$4*EXP(F32),"")</f>
      </c>
      <c r="G31" s="141">
        <f>IF(J31=TRUE,$B$4*0.5*CHIINV(0.975,2*A31)/B31,IF(I31=TRUE,0,""))</f>
      </c>
      <c r="H31" s="144">
        <f>IF(I31=TRUE,$B$4*0.5*CHIINV(0.025,2*A31+2)/B31,"")</f>
      </c>
      <c r="I31" s="13" t="b">
        <f>AND(A31&gt;=0,B31&gt;0,ROUND(A31,0)=A31)</f>
        <v>0</v>
      </c>
      <c r="J31" s="13" t="b">
        <f>AND(I31=TRUE,A31&gt;0)</f>
        <v>0</v>
      </c>
    </row>
    <row r="32" spans="1:8" ht="12" customHeight="1">
      <c r="A32" s="439" t="s">
        <v>70</v>
      </c>
      <c r="B32" s="439"/>
      <c r="C32" s="149">
        <f>IF(J31=TRUE,LN(A31/B31),"")</f>
      </c>
      <c r="D32" s="149">
        <f>IF(J31=TRUE,SQRT(1/A31),"")</f>
      </c>
      <c r="E32" s="150">
        <f>IF(J31=TRUE,C32-1.96*D32,"")</f>
      </c>
      <c r="F32" s="150">
        <f>IF(J31=TRUE,C32+1.96*D32,"")</f>
      </c>
      <c r="G32" s="24"/>
      <c r="H32" s="24"/>
    </row>
    <row r="33" spans="1:8" ht="12" customHeight="1">
      <c r="A33" s="24"/>
      <c r="B33" s="24"/>
      <c r="C33" s="24"/>
      <c r="D33" s="24"/>
      <c r="E33" s="24"/>
      <c r="F33" s="24"/>
      <c r="G33" s="24"/>
      <c r="H33" s="24"/>
    </row>
    <row r="34" spans="1:10" ht="12" customHeight="1">
      <c r="A34" s="420" t="s">
        <v>10</v>
      </c>
      <c r="B34" s="421" t="s">
        <v>11</v>
      </c>
      <c r="C34" s="136" t="s">
        <v>12</v>
      </c>
      <c r="D34" s="147" t="s">
        <v>4</v>
      </c>
      <c r="E34" s="434" t="s">
        <v>77</v>
      </c>
      <c r="F34" s="435"/>
      <c r="G34" s="440" t="s">
        <v>75</v>
      </c>
      <c r="H34" s="441"/>
      <c r="I34" s="10" t="s">
        <v>80</v>
      </c>
      <c r="J34" s="10" t="s">
        <v>81</v>
      </c>
    </row>
    <row r="35" spans="1:10" ht="12" customHeight="1">
      <c r="A35" s="422"/>
      <c r="B35" s="423"/>
      <c r="C35" s="137">
        <f>IF(I35=TRUE,$B$4*A35/B35,"")</f>
      </c>
      <c r="D35" s="148"/>
      <c r="E35" s="138">
        <f>IF(J35=TRUE,$B$4*EXP(E36),"")</f>
      </c>
      <c r="F35" s="139">
        <f>IF(J35=TRUE,$B$4*EXP(F36),"")</f>
      </c>
      <c r="G35" s="141">
        <f>IF(J35=TRUE,$B$4*0.5*CHIINV(0.975,2*A35)/B35,IF(I35=TRUE,0,""))</f>
      </c>
      <c r="H35" s="144">
        <f>IF(I35=TRUE,$B$4*0.5*CHIINV(0.025,2*A35+2)/B35,"")</f>
      </c>
      <c r="I35" s="13" t="b">
        <f>AND(A35&gt;=0,B35&gt;0,ROUND(A35,0)=A35)</f>
        <v>0</v>
      </c>
      <c r="J35" s="13" t="b">
        <f>AND(I35=TRUE,A35&gt;0)</f>
        <v>0</v>
      </c>
    </row>
    <row r="36" spans="1:8" ht="12" customHeight="1">
      <c r="A36" s="439" t="s">
        <v>70</v>
      </c>
      <c r="B36" s="439"/>
      <c r="C36" s="149">
        <f>IF(J35=TRUE,LN(A35/B35),"")</f>
      </c>
      <c r="D36" s="149">
        <f>IF(J35=TRUE,SQRT(1/A35),"")</f>
      </c>
      <c r="E36" s="150">
        <f>IF(J35=TRUE,C36-1.96*D36,"")</f>
      </c>
      <c r="F36" s="150">
        <f>IF(J35=TRUE,C36+1.96*D36,"")</f>
      </c>
      <c r="G36" s="24"/>
      <c r="H36" s="24"/>
    </row>
    <row r="37" spans="1:8" ht="12" customHeight="1">
      <c r="A37" s="24"/>
      <c r="B37" s="24"/>
      <c r="C37" s="24"/>
      <c r="D37" s="24"/>
      <c r="E37" s="24"/>
      <c r="F37" s="24"/>
      <c r="G37" s="24"/>
      <c r="H37" s="24"/>
    </row>
    <row r="38" spans="1:10" ht="12" customHeight="1">
      <c r="A38" s="420" t="s">
        <v>10</v>
      </c>
      <c r="B38" s="421" t="s">
        <v>11</v>
      </c>
      <c r="C38" s="136" t="s">
        <v>12</v>
      </c>
      <c r="D38" s="147" t="s">
        <v>4</v>
      </c>
      <c r="E38" s="434" t="s">
        <v>77</v>
      </c>
      <c r="F38" s="435"/>
      <c r="G38" s="440" t="s">
        <v>75</v>
      </c>
      <c r="H38" s="441"/>
      <c r="I38" s="10" t="s">
        <v>80</v>
      </c>
      <c r="J38" s="10" t="s">
        <v>81</v>
      </c>
    </row>
    <row r="39" spans="1:10" ht="12" customHeight="1">
      <c r="A39" s="422"/>
      <c r="B39" s="423"/>
      <c r="C39" s="137">
        <f>IF(I39=TRUE,$B$4*A39/B39,"")</f>
      </c>
      <c r="D39" s="148"/>
      <c r="E39" s="138">
        <f>IF(J39=TRUE,$B$4*EXP(E40),"")</f>
      </c>
      <c r="F39" s="139">
        <f>IF(J39=TRUE,$B$4*EXP(F40),"")</f>
      </c>
      <c r="G39" s="141">
        <f>IF(J39=TRUE,$B$4*0.5*CHIINV(0.975,2*A39)/B39,IF(I39=TRUE,0,""))</f>
      </c>
      <c r="H39" s="144">
        <f>IF(I39=TRUE,$B$4*0.5*CHIINV(0.025,2*A39+2)/B39,"")</f>
      </c>
      <c r="I39" s="13" t="b">
        <f>AND(A39&gt;=0,B39&gt;0,ROUND(A39,0)=A39)</f>
        <v>0</v>
      </c>
      <c r="J39" s="13" t="b">
        <f>AND(I39=TRUE,A39&gt;0)</f>
        <v>0</v>
      </c>
    </row>
    <row r="40" spans="1:8" ht="12" customHeight="1">
      <c r="A40" s="439" t="s">
        <v>70</v>
      </c>
      <c r="B40" s="439"/>
      <c r="C40" s="149">
        <f>IF(J39=TRUE,LN(A39/B39),"")</f>
      </c>
      <c r="D40" s="149">
        <f>IF(J39=TRUE,SQRT(1/A39),"")</f>
      </c>
      <c r="E40" s="150">
        <f>IF(J39=TRUE,C40-1.96*D40,"")</f>
      </c>
      <c r="F40" s="150">
        <f>IF(J39=TRUE,C40+1.96*D40,"")</f>
      </c>
      <c r="G40" s="24"/>
      <c r="H40" s="24"/>
    </row>
    <row r="41" spans="1:8" ht="12" customHeight="1">
      <c r="A41" s="24"/>
      <c r="B41" s="24"/>
      <c r="C41" s="24"/>
      <c r="D41" s="24"/>
      <c r="E41" s="24"/>
      <c r="F41" s="24"/>
      <c r="G41" s="24"/>
      <c r="H41" s="24"/>
    </row>
    <row r="42" spans="1:10" ht="12" customHeight="1">
      <c r="A42" s="420" t="s">
        <v>10</v>
      </c>
      <c r="B42" s="421" t="s">
        <v>11</v>
      </c>
      <c r="C42" s="136" t="s">
        <v>12</v>
      </c>
      <c r="D42" s="147" t="s">
        <v>4</v>
      </c>
      <c r="E42" s="434" t="s">
        <v>77</v>
      </c>
      <c r="F42" s="435"/>
      <c r="G42" s="440" t="s">
        <v>75</v>
      </c>
      <c r="H42" s="441"/>
      <c r="I42" s="10" t="s">
        <v>80</v>
      </c>
      <c r="J42" s="10" t="s">
        <v>81</v>
      </c>
    </row>
    <row r="43" spans="1:10" ht="12" customHeight="1">
      <c r="A43" s="422"/>
      <c r="B43" s="423"/>
      <c r="C43" s="137">
        <f>IF(I43=TRUE,$B$4*A43/B43,"")</f>
      </c>
      <c r="D43" s="148"/>
      <c r="E43" s="138">
        <f>IF(J43=TRUE,$B$4*EXP(E44),"")</f>
      </c>
      <c r="F43" s="139">
        <f>IF(J43=TRUE,$B$4*EXP(F44),"")</f>
      </c>
      <c r="G43" s="141">
        <f>IF(J43=TRUE,$B$4*0.5*CHIINV(0.975,2*A43)/B43,IF(I43=TRUE,0,""))</f>
      </c>
      <c r="H43" s="144">
        <f>IF(I43=TRUE,$B$4*0.5*CHIINV(0.025,2*A43+2)/B43,"")</f>
      </c>
      <c r="I43" s="13" t="b">
        <f>AND(A43&gt;=0,B43&gt;0,ROUND(A43,0)=A43)</f>
        <v>0</v>
      </c>
      <c r="J43" s="13" t="b">
        <f>AND(I43=TRUE,A43&gt;0)</f>
        <v>0</v>
      </c>
    </row>
    <row r="44" spans="1:8" ht="12" customHeight="1">
      <c r="A44" s="439" t="s">
        <v>70</v>
      </c>
      <c r="B44" s="439"/>
      <c r="C44" s="149">
        <f>IF(J43=TRUE,LN(A43/B43),"")</f>
      </c>
      <c r="D44" s="149">
        <f>IF(J43=TRUE,SQRT(1/A43),"")</f>
      </c>
      <c r="E44" s="150">
        <f>IF(J43=TRUE,C44-1.96*D44,"")</f>
      </c>
      <c r="F44" s="150">
        <f>IF(J43=TRUE,C44+1.96*D44,"")</f>
      </c>
      <c r="G44" s="24"/>
      <c r="H44" s="24"/>
    </row>
    <row r="45" spans="1:8" ht="12" customHeight="1">
      <c r="A45" s="24"/>
      <c r="B45" s="24"/>
      <c r="C45" s="24"/>
      <c r="D45" s="24"/>
      <c r="E45" s="24"/>
      <c r="F45" s="24"/>
      <c r="G45" s="24"/>
      <c r="H45" s="24"/>
    </row>
  </sheetData>
  <sheetProtection sheet="1" objects="1" scenarios="1"/>
  <mergeCells count="32">
    <mergeCell ref="G6:H6"/>
    <mergeCell ref="E6:F6"/>
    <mergeCell ref="E18:F18"/>
    <mergeCell ref="G18:H18"/>
    <mergeCell ref="E10:F10"/>
    <mergeCell ref="G10:H10"/>
    <mergeCell ref="E14:F14"/>
    <mergeCell ref="G14:H14"/>
    <mergeCell ref="E42:F42"/>
    <mergeCell ref="G42:H42"/>
    <mergeCell ref="E26:F26"/>
    <mergeCell ref="E30:F30"/>
    <mergeCell ref="G30:H30"/>
    <mergeCell ref="E34:F34"/>
    <mergeCell ref="G34:H34"/>
    <mergeCell ref="G26:H26"/>
    <mergeCell ref="A16:B16"/>
    <mergeCell ref="A20:B20"/>
    <mergeCell ref="E38:F38"/>
    <mergeCell ref="G38:H38"/>
    <mergeCell ref="E22:F22"/>
    <mergeCell ref="G22:H22"/>
    <mergeCell ref="H1:H2"/>
    <mergeCell ref="B1:D1"/>
    <mergeCell ref="A40:B40"/>
    <mergeCell ref="A44:B44"/>
    <mergeCell ref="A24:B24"/>
    <mergeCell ref="A28:B28"/>
    <mergeCell ref="A32:B32"/>
    <mergeCell ref="A36:B36"/>
    <mergeCell ref="A8:B8"/>
    <mergeCell ref="A12:B12"/>
  </mergeCells>
  <hyperlinks>
    <hyperlink ref="H1:H2" location="Start!A1" display="Start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J49"/>
  <sheetViews>
    <sheetView workbookViewId="0" topLeftCell="A1">
      <selection activeCell="A1" sqref="A1"/>
    </sheetView>
  </sheetViews>
  <sheetFormatPr defaultColWidth="9.140625" defaultRowHeight="12.75"/>
  <cols>
    <col min="1" max="7" width="9.7109375" style="0" customWidth="1"/>
    <col min="8" max="9" width="0" style="0" hidden="1" customWidth="1"/>
  </cols>
  <sheetData>
    <row r="1" spans="1:10" ht="12.75">
      <c r="A1" s="7" t="s">
        <v>173</v>
      </c>
      <c r="B1" s="469" t="s">
        <v>174</v>
      </c>
      <c r="C1" s="469"/>
      <c r="D1" s="469"/>
      <c r="E1" s="469"/>
      <c r="J1" s="470" t="s">
        <v>218</v>
      </c>
    </row>
    <row r="2" spans="1:10" ht="12.75">
      <c r="A2" s="7"/>
      <c r="B2" s="326"/>
      <c r="C2" s="326"/>
      <c r="D2" s="326"/>
      <c r="E2" s="326"/>
      <c r="J2" s="471"/>
    </row>
    <row r="3" spans="1:5" ht="12.75">
      <c r="A3" s="7"/>
      <c r="B3" s="326"/>
      <c r="C3" s="326"/>
      <c r="D3" s="326"/>
      <c r="E3" s="326"/>
    </row>
    <row r="4" spans="1:7" ht="12" customHeight="1">
      <c r="A4" s="24"/>
      <c r="B4" s="24"/>
      <c r="C4" s="24"/>
      <c r="D4" s="24"/>
      <c r="E4" s="24"/>
      <c r="F4" s="24"/>
      <c r="G4" s="24"/>
    </row>
    <row r="5" spans="1:7" ht="12" customHeight="1">
      <c r="A5" s="429" t="s">
        <v>209</v>
      </c>
      <c r="B5" s="430"/>
      <c r="C5" s="430"/>
      <c r="D5" s="430"/>
      <c r="E5" s="430"/>
      <c r="F5" s="430"/>
      <c r="G5" s="431"/>
    </row>
    <row r="6" spans="1:7" ht="12" customHeight="1">
      <c r="A6" s="205" t="s">
        <v>134</v>
      </c>
      <c r="B6" s="206"/>
      <c r="C6" s="206"/>
      <c r="D6" s="206"/>
      <c r="E6" s="206"/>
      <c r="F6" s="206"/>
      <c r="G6" s="207"/>
    </row>
    <row r="7" spans="1:7" ht="12" customHeight="1">
      <c r="A7" s="24"/>
      <c r="B7" s="24"/>
      <c r="C7" s="24"/>
      <c r="D7" s="24"/>
      <c r="E7" s="24"/>
      <c r="F7" s="24"/>
      <c r="G7" s="24"/>
    </row>
    <row r="8" spans="1:7" ht="12" customHeight="1">
      <c r="A8" s="25" t="s">
        <v>110</v>
      </c>
      <c r="B8" s="24"/>
      <c r="C8" s="24"/>
      <c r="D8" s="24"/>
      <c r="E8" s="24"/>
      <c r="F8" s="24"/>
      <c r="G8" s="24"/>
    </row>
    <row r="9" spans="1:7" ht="12" customHeight="1">
      <c r="A9" s="58" t="s">
        <v>40</v>
      </c>
      <c r="B9" s="28" t="s">
        <v>37</v>
      </c>
      <c r="C9" s="60" t="s">
        <v>38</v>
      </c>
      <c r="D9" s="60" t="s">
        <v>39</v>
      </c>
      <c r="E9" s="60" t="s">
        <v>4</v>
      </c>
      <c r="F9" s="426" t="s">
        <v>18</v>
      </c>
      <c r="G9" s="427"/>
    </row>
    <row r="10" spans="1:7" ht="12" customHeight="1">
      <c r="A10" s="58" t="s">
        <v>0</v>
      </c>
      <c r="B10" s="400">
        <v>23</v>
      </c>
      <c r="C10" s="398">
        <v>22.59</v>
      </c>
      <c r="D10" s="398">
        <v>7.31</v>
      </c>
      <c r="E10" s="64">
        <f>D10/SQRT(B10)</f>
        <v>1.5242403667572166</v>
      </c>
      <c r="F10" s="64">
        <f>C10-1.96*E10</f>
        <v>19.602488881155857</v>
      </c>
      <c r="G10" s="65">
        <f>C10+1.96*E10</f>
        <v>25.577511118844143</v>
      </c>
    </row>
    <row r="11" spans="1:7" ht="12" customHeight="1">
      <c r="A11" s="34">
        <v>0</v>
      </c>
      <c r="B11" s="401">
        <v>19</v>
      </c>
      <c r="C11" s="399">
        <v>34.08</v>
      </c>
      <c r="D11" s="399">
        <v>7.29</v>
      </c>
      <c r="E11" s="36">
        <f>D11/SQRT(B11)</f>
        <v>1.6724406999163952</v>
      </c>
      <c r="F11" s="36">
        <f>C11-1.96*E11</f>
        <v>30.802016228163865</v>
      </c>
      <c r="G11" s="37">
        <f>C11+1.96*E11</f>
        <v>37.35798377183613</v>
      </c>
    </row>
    <row r="12" spans="1:7" ht="12" customHeight="1">
      <c r="A12" s="38" t="s">
        <v>54</v>
      </c>
      <c r="B12" s="411">
        <f>B10+B11</f>
        <v>42</v>
      </c>
      <c r="C12" s="32">
        <f>(B10*C10+B11*C11)/B12</f>
        <v>27.787857142857145</v>
      </c>
      <c r="D12" s="86"/>
      <c r="E12" s="40"/>
      <c r="F12" s="40"/>
      <c r="G12" s="41"/>
    </row>
    <row r="13" spans="1:7" ht="12" customHeight="1">
      <c r="A13" s="34" t="s">
        <v>117</v>
      </c>
      <c r="B13" s="397"/>
      <c r="C13" s="36">
        <f>C10-C11</f>
        <v>-11.489999999999998</v>
      </c>
      <c r="D13" s="396"/>
      <c r="E13" s="36">
        <f>SQRT(E10^2+E11^2)</f>
        <v>2.262822704143879</v>
      </c>
      <c r="F13" s="36">
        <f>C13-1.96*E13</f>
        <v>-15.925132500122</v>
      </c>
      <c r="G13" s="37">
        <f>C13+1.96*E13</f>
        <v>-7.054867499877996</v>
      </c>
    </row>
    <row r="14" spans="1:7" ht="12" customHeight="1">
      <c r="A14" s="49"/>
      <c r="B14" s="83"/>
      <c r="C14" s="32"/>
      <c r="D14" s="49"/>
      <c r="E14" s="32"/>
      <c r="F14" s="32"/>
      <c r="G14" s="32"/>
    </row>
    <row r="15" spans="1:7" ht="12" customHeight="1">
      <c r="A15" s="44"/>
      <c r="B15" s="26" t="s">
        <v>49</v>
      </c>
      <c r="C15" s="29" t="s">
        <v>29</v>
      </c>
      <c r="D15" s="45"/>
      <c r="E15" s="24"/>
      <c r="F15" s="46"/>
      <c r="G15" s="46"/>
    </row>
    <row r="16" spans="1:7" ht="12" customHeight="1">
      <c r="A16" s="44"/>
      <c r="B16" s="92">
        <f>C13/E13</f>
        <v>-5.077728793757683</v>
      </c>
      <c r="C16" s="97">
        <f>2*(1-NORMSDIST(ABS(B16)))</f>
        <v>3.8197340135326385E-07</v>
      </c>
      <c r="D16" s="45"/>
      <c r="E16" s="47"/>
      <c r="F16" s="46"/>
      <c r="G16" s="46"/>
    </row>
    <row r="17" spans="1:7" ht="12" customHeight="1">
      <c r="A17" s="94"/>
      <c r="B17" s="94"/>
      <c r="C17" s="32"/>
      <c r="D17" s="95"/>
      <c r="E17" s="48"/>
      <c r="F17" s="49"/>
      <c r="G17" s="49"/>
    </row>
    <row r="18" spans="1:7" ht="12" customHeight="1">
      <c r="A18" s="94"/>
      <c r="B18" s="96"/>
      <c r="C18" s="40"/>
      <c r="D18" s="49"/>
      <c r="E18" s="49"/>
      <c r="F18" s="49"/>
      <c r="G18" s="49"/>
    </row>
    <row r="19" spans="1:7" ht="12" customHeight="1">
      <c r="A19" s="432" t="s">
        <v>118</v>
      </c>
      <c r="B19" s="432"/>
      <c r="C19" s="432"/>
      <c r="D19" s="24"/>
      <c r="E19" s="24"/>
      <c r="F19" s="24"/>
      <c r="G19" s="24"/>
    </row>
    <row r="20" spans="1:7" ht="12" customHeight="1">
      <c r="A20" s="27" t="s">
        <v>40</v>
      </c>
      <c r="B20" s="28" t="s">
        <v>39</v>
      </c>
      <c r="C20" s="29" t="s">
        <v>52</v>
      </c>
      <c r="D20" s="49"/>
      <c r="E20" s="40"/>
      <c r="F20" s="24"/>
      <c r="G20" s="24"/>
    </row>
    <row r="21" spans="1:7" ht="12" customHeight="1">
      <c r="A21" s="50" t="s">
        <v>0</v>
      </c>
      <c r="B21" s="32">
        <f>D10</f>
        <v>7.31</v>
      </c>
      <c r="C21" s="51">
        <f>B10-1</f>
        <v>22</v>
      </c>
      <c r="D21" s="49"/>
      <c r="E21" s="40"/>
      <c r="F21" s="24"/>
      <c r="G21" s="24"/>
    </row>
    <row r="22" spans="1:7" ht="12" customHeight="1">
      <c r="A22" s="43">
        <v>0</v>
      </c>
      <c r="B22" s="36">
        <f>D11</f>
        <v>7.29</v>
      </c>
      <c r="C22" s="51">
        <f>B11-1</f>
        <v>18</v>
      </c>
      <c r="D22" s="49"/>
      <c r="E22" s="40"/>
      <c r="F22" s="24"/>
      <c r="G22" s="46"/>
    </row>
    <row r="23" spans="1:9" ht="12" customHeight="1">
      <c r="A23" s="52" t="s">
        <v>112</v>
      </c>
      <c r="B23" s="32">
        <f>(B21^2)/(B22^2)</f>
        <v>1.005494495155624</v>
      </c>
      <c r="C23" s="53" t="s">
        <v>114</v>
      </c>
      <c r="D23" s="54">
        <f>MIN(H23,1-H23)</f>
        <v>0.4987831583072797</v>
      </c>
      <c r="F23" s="27" t="s">
        <v>29</v>
      </c>
      <c r="G23" s="24"/>
      <c r="H23" s="17">
        <f>FDIST(B23,C21,C22)</f>
        <v>0.5012168416927203</v>
      </c>
      <c r="I23" s="17"/>
    </row>
    <row r="24" spans="1:9" ht="12" customHeight="1">
      <c r="A24" s="55" t="s">
        <v>113</v>
      </c>
      <c r="B24" s="36">
        <f>1/B23</f>
        <v>0.9945355293518802</v>
      </c>
      <c r="C24" s="55" t="s">
        <v>115</v>
      </c>
      <c r="D24" s="56">
        <f>MIN(H24,1-H24)</f>
        <v>0.4891787655100439</v>
      </c>
      <c r="F24" s="82">
        <f>SUM(D23:D24)</f>
        <v>0.9879619238173236</v>
      </c>
      <c r="G24" s="24"/>
      <c r="H24" s="17">
        <f>FDIST(B24,C21,C22)</f>
        <v>0.5108212344899561</v>
      </c>
      <c r="I24" s="17"/>
    </row>
    <row r="25" spans="1:9" ht="12" customHeight="1">
      <c r="A25" s="24"/>
      <c r="B25" s="24"/>
      <c r="C25" s="45"/>
      <c r="E25" s="24"/>
      <c r="F25" s="24"/>
      <c r="G25" s="24"/>
      <c r="H25" s="17"/>
      <c r="I25" s="17"/>
    </row>
    <row r="26" spans="1:9" ht="12" customHeight="1">
      <c r="A26" s="24"/>
      <c r="B26" s="24"/>
      <c r="C26" s="45"/>
      <c r="D26" s="57"/>
      <c r="E26" s="24"/>
      <c r="F26" s="24"/>
      <c r="G26" s="24"/>
      <c r="H26" s="17"/>
      <c r="I26" s="17"/>
    </row>
    <row r="27" spans="1:9" ht="12" customHeight="1">
      <c r="A27" s="402" t="s">
        <v>111</v>
      </c>
      <c r="B27" s="428"/>
      <c r="C27" s="24"/>
      <c r="D27" s="24"/>
      <c r="E27" s="24"/>
      <c r="F27" s="24"/>
      <c r="G27" s="24"/>
      <c r="H27" s="17"/>
      <c r="I27" s="17"/>
    </row>
    <row r="28" spans="1:9" ht="12" customHeight="1">
      <c r="A28" s="58" t="s">
        <v>40</v>
      </c>
      <c r="B28" s="59" t="s">
        <v>37</v>
      </c>
      <c r="C28" s="60" t="s">
        <v>38</v>
      </c>
      <c r="D28" s="59" t="s">
        <v>39</v>
      </c>
      <c r="E28" s="29" t="s">
        <v>4</v>
      </c>
      <c r="F28" s="466" t="s">
        <v>18</v>
      </c>
      <c r="G28" s="467"/>
      <c r="H28" s="17"/>
      <c r="I28" s="17"/>
    </row>
    <row r="29" spans="1:9" ht="12" customHeight="1">
      <c r="A29" s="58" t="s">
        <v>0</v>
      </c>
      <c r="B29" s="61">
        <f aca="true" t="shared" si="0" ref="B29:D30">B10</f>
        <v>23</v>
      </c>
      <c r="C29" s="62">
        <f t="shared" si="0"/>
        <v>22.59</v>
      </c>
      <c r="D29" s="63">
        <f t="shared" si="0"/>
        <v>7.31</v>
      </c>
      <c r="E29" s="33">
        <f>D29/SQRT(B29)</f>
        <v>1.5242403667572166</v>
      </c>
      <c r="F29" s="64">
        <f>C29-I29*E29</f>
        <v>19.42891896898511</v>
      </c>
      <c r="G29" s="65">
        <f>C29+I29*E29</f>
        <v>25.75108103101489</v>
      </c>
      <c r="H29" s="17"/>
      <c r="I29" s="17">
        <f>TINV(0.05,B29-1)</f>
        <v>2.0738730583156064</v>
      </c>
    </row>
    <row r="30" spans="1:9" ht="12" customHeight="1">
      <c r="A30" s="34">
        <v>0</v>
      </c>
      <c r="B30" s="66">
        <f t="shared" si="0"/>
        <v>19</v>
      </c>
      <c r="C30" s="67">
        <f t="shared" si="0"/>
        <v>34.08</v>
      </c>
      <c r="D30" s="68">
        <f t="shared" si="0"/>
        <v>7.29</v>
      </c>
      <c r="E30" s="37">
        <f>D30/SQRT(B30)</f>
        <v>1.6724406999163952</v>
      </c>
      <c r="F30" s="36">
        <f>C30-I30*E30</f>
        <v>30.566332478202106</v>
      </c>
      <c r="G30" s="37">
        <f>C30+I30*E30</f>
        <v>37.59366752179789</v>
      </c>
      <c r="H30" s="17"/>
      <c r="I30" s="17">
        <f>TINV(0.05,B30-1)</f>
        <v>2.1009220368611805</v>
      </c>
    </row>
    <row r="31" spans="1:9" ht="12" customHeight="1">
      <c r="A31" s="38" t="s">
        <v>54</v>
      </c>
      <c r="B31" s="39">
        <f>B29+B30</f>
        <v>42</v>
      </c>
      <c r="C31" s="84">
        <f>(B29*C29+B30*C30)/B31</f>
        <v>27.787857142857145</v>
      </c>
      <c r="D31" s="85">
        <f>SQRT(((B10-1)*D10^2+(B11-1)*D11^2)/(B12-2))</f>
        <v>7.301006779890018</v>
      </c>
      <c r="E31" s="93"/>
      <c r="F31" s="69"/>
      <c r="G31" s="41"/>
      <c r="H31" s="17"/>
      <c r="I31" s="17">
        <f>TINV(0.05,B31-2)</f>
        <v>2.0210753698504513</v>
      </c>
    </row>
    <row r="32" spans="1:9" ht="12" customHeight="1">
      <c r="A32" s="26" t="s">
        <v>117</v>
      </c>
      <c r="B32" s="70"/>
      <c r="C32" s="92">
        <f>C29-C30</f>
        <v>-11.489999999999998</v>
      </c>
      <c r="D32" s="43" t="s">
        <v>119</v>
      </c>
      <c r="E32" s="91">
        <f>D31*SQRT(1/B29+1/B30)</f>
        <v>2.2634279706873164</v>
      </c>
      <c r="F32" s="89">
        <f>C32-I31*E32</f>
        <v>-16.064558522986722</v>
      </c>
      <c r="G32" s="91">
        <f>C32+I31*E32</f>
        <v>-6.915441477013274</v>
      </c>
      <c r="H32" s="17"/>
      <c r="I32" s="17"/>
    </row>
    <row r="33" spans="1:9" ht="12" customHeight="1">
      <c r="A33" s="49"/>
      <c r="B33" s="83"/>
      <c r="C33" s="32"/>
      <c r="D33" s="49"/>
      <c r="E33" s="32"/>
      <c r="F33" s="32"/>
      <c r="G33" s="32"/>
      <c r="H33" s="17"/>
      <c r="I33" s="17"/>
    </row>
    <row r="34" spans="1:9" ht="12" customHeight="1">
      <c r="A34" s="44"/>
      <c r="B34" s="26" t="s">
        <v>71</v>
      </c>
      <c r="C34" s="28" t="s">
        <v>52</v>
      </c>
      <c r="D34" s="29" t="s">
        <v>29</v>
      </c>
      <c r="E34" s="24"/>
      <c r="F34" s="24"/>
      <c r="G34" s="24"/>
      <c r="H34" s="17"/>
      <c r="I34" s="17"/>
    </row>
    <row r="35" spans="1:9" ht="12" customHeight="1">
      <c r="A35" s="24"/>
      <c r="B35" s="92">
        <f>C32/E32</f>
        <v>-5.076370950965551</v>
      </c>
      <c r="C35" s="98">
        <f>B31-2</f>
        <v>40</v>
      </c>
      <c r="D35" s="97">
        <f>TDIST(ABS(B35),C35,2)</f>
        <v>9.2794156313309E-06</v>
      </c>
      <c r="E35" s="24"/>
      <c r="F35" s="24"/>
      <c r="G35" s="24"/>
      <c r="H35" s="17"/>
      <c r="I35" s="17"/>
    </row>
    <row r="36" spans="1:9" ht="12" customHeight="1">
      <c r="A36" s="24"/>
      <c r="B36" s="24"/>
      <c r="C36" s="45"/>
      <c r="D36" s="57"/>
      <c r="E36" s="24"/>
      <c r="F36" s="24"/>
      <c r="G36" s="24"/>
      <c r="H36" s="17"/>
      <c r="I36" s="17"/>
    </row>
    <row r="37" spans="1:7" ht="12" customHeight="1">
      <c r="A37" s="24"/>
      <c r="B37" s="24"/>
      <c r="C37" s="24"/>
      <c r="D37" s="24"/>
      <c r="E37" s="24"/>
      <c r="F37" s="24"/>
      <c r="G37" s="24"/>
    </row>
    <row r="38" spans="1:7" ht="12" customHeight="1">
      <c r="A38" s="428" t="s">
        <v>116</v>
      </c>
      <c r="B38" s="428"/>
      <c r="C38" s="40"/>
      <c r="D38" s="40"/>
      <c r="E38" s="40"/>
      <c r="F38" s="24"/>
      <c r="G38" s="24"/>
    </row>
    <row r="39" spans="1:7" ht="12" customHeight="1">
      <c r="A39" s="58" t="s">
        <v>40</v>
      </c>
      <c r="B39" s="59" t="s">
        <v>37</v>
      </c>
      <c r="C39" s="60" t="s">
        <v>38</v>
      </c>
      <c r="D39" s="59" t="s">
        <v>39</v>
      </c>
      <c r="E39" s="59" t="s">
        <v>4</v>
      </c>
      <c r="F39" s="426" t="s">
        <v>18</v>
      </c>
      <c r="G39" s="427"/>
    </row>
    <row r="40" spans="1:7" ht="12" customHeight="1">
      <c r="A40" s="71" t="s">
        <v>0</v>
      </c>
      <c r="B40" s="72">
        <f aca="true" t="shared" si="1" ref="B40:G40">B29</f>
        <v>23</v>
      </c>
      <c r="C40" s="73">
        <f t="shared" si="1"/>
        <v>22.59</v>
      </c>
      <c r="D40" s="74">
        <f t="shared" si="1"/>
        <v>7.31</v>
      </c>
      <c r="E40" s="74">
        <f t="shared" si="1"/>
        <v>1.5242403667572166</v>
      </c>
      <c r="F40" s="73">
        <f t="shared" si="1"/>
        <v>19.42891896898511</v>
      </c>
      <c r="G40" s="75">
        <f t="shared" si="1"/>
        <v>25.75108103101489</v>
      </c>
    </row>
    <row r="41" spans="1:7" ht="12" customHeight="1">
      <c r="A41" s="34">
        <v>0</v>
      </c>
      <c r="B41" s="42">
        <f aca="true" t="shared" si="2" ref="B41:G41">B30</f>
        <v>19</v>
      </c>
      <c r="C41" s="76">
        <f t="shared" si="2"/>
        <v>34.08</v>
      </c>
      <c r="D41" s="77">
        <f t="shared" si="2"/>
        <v>7.29</v>
      </c>
      <c r="E41" s="77">
        <f t="shared" si="2"/>
        <v>1.6724406999163952</v>
      </c>
      <c r="F41" s="76">
        <f t="shared" si="2"/>
        <v>30.566332478202106</v>
      </c>
      <c r="G41" s="78">
        <f t="shared" si="2"/>
        <v>37.59366752179789</v>
      </c>
    </row>
    <row r="42" spans="1:7" ht="12" customHeight="1">
      <c r="A42" s="34" t="s">
        <v>117</v>
      </c>
      <c r="B42" s="88"/>
      <c r="C42" s="89">
        <f>C40-C41</f>
        <v>-11.489999999999998</v>
      </c>
      <c r="D42" s="90"/>
      <c r="E42" s="35">
        <f>E13</f>
        <v>2.262822704143879</v>
      </c>
      <c r="F42" s="79"/>
      <c r="G42" s="80"/>
    </row>
    <row r="43" spans="1:7" ht="12" customHeight="1">
      <c r="A43" s="49"/>
      <c r="B43" s="87"/>
      <c r="C43" s="32"/>
      <c r="D43" s="40"/>
      <c r="E43" s="32"/>
      <c r="F43" s="86"/>
      <c r="G43" s="86"/>
    </row>
    <row r="44" spans="1:7" ht="12" customHeight="1">
      <c r="A44" s="44"/>
      <c r="B44" s="26" t="s">
        <v>71</v>
      </c>
      <c r="C44" s="28" t="s">
        <v>52</v>
      </c>
      <c r="D44" s="29" t="s">
        <v>29</v>
      </c>
      <c r="E44" s="24"/>
      <c r="F44" s="24"/>
      <c r="G44" s="24"/>
    </row>
    <row r="45" spans="1:7" ht="12" customHeight="1">
      <c r="A45" s="44"/>
      <c r="B45" s="92">
        <f>C42/E42</f>
        <v>-5.077728793757683</v>
      </c>
      <c r="C45" s="81">
        <f>(E10^2+E11^2)^2/((D10^4)/(B10*B10*(B10-1))+(D11^4)/(B11*B11*(B11-1)))</f>
        <v>38.556472198611964</v>
      </c>
      <c r="D45" s="97">
        <f>TDIST(ABS(B45),C45,2)</f>
        <v>1.0411865700265584E-05</v>
      </c>
      <c r="E45" s="24"/>
      <c r="F45" s="24"/>
      <c r="G45" s="24"/>
    </row>
    <row r="46" spans="1:7" ht="12" customHeight="1">
      <c r="A46" s="40"/>
      <c r="B46" s="40"/>
      <c r="C46" s="40"/>
      <c r="D46" s="40"/>
      <c r="E46" s="40"/>
      <c r="F46" s="24"/>
      <c r="G46" s="24"/>
    </row>
    <row r="47" spans="1:5" ht="12.75">
      <c r="A47" s="21"/>
      <c r="B47" s="21"/>
      <c r="C47" s="21"/>
      <c r="D47" s="22"/>
      <c r="E47" s="20"/>
    </row>
    <row r="48" spans="1:5" ht="12.75">
      <c r="A48" s="21"/>
      <c r="B48" s="22"/>
      <c r="C48" s="20"/>
      <c r="D48" s="22"/>
      <c r="E48" s="21"/>
    </row>
    <row r="49" spans="1:5" ht="12.75">
      <c r="A49" s="21"/>
      <c r="B49" s="22"/>
      <c r="C49" s="23"/>
      <c r="D49" s="21"/>
      <c r="E49" s="21"/>
    </row>
  </sheetData>
  <sheetProtection sheet="1" objects="1" scenarios="1"/>
  <mergeCells count="9">
    <mergeCell ref="J1:J2"/>
    <mergeCell ref="B1:E1"/>
    <mergeCell ref="F39:G39"/>
    <mergeCell ref="A38:B38"/>
    <mergeCell ref="F9:G9"/>
    <mergeCell ref="A5:G5"/>
    <mergeCell ref="A19:C19"/>
    <mergeCell ref="F28:G28"/>
    <mergeCell ref="A27:B27"/>
  </mergeCells>
  <hyperlinks>
    <hyperlink ref="J1:J2" location="Start!A1" display="Start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J36"/>
  <sheetViews>
    <sheetView workbookViewId="0" topLeftCell="A1">
      <selection activeCell="J1" sqref="J1:J2"/>
    </sheetView>
  </sheetViews>
  <sheetFormatPr defaultColWidth="9.140625" defaultRowHeight="12.75"/>
  <cols>
    <col min="1" max="1" width="8.00390625" style="0" customWidth="1"/>
    <col min="2" max="10" width="8.7109375" style="0" customWidth="1"/>
  </cols>
  <sheetData>
    <row r="1" spans="1:10" ht="12.75">
      <c r="A1" s="7" t="s">
        <v>175</v>
      </c>
      <c r="C1" s="403" t="s">
        <v>182</v>
      </c>
      <c r="D1" s="403"/>
      <c r="E1" s="403"/>
      <c r="F1" s="403"/>
      <c r="G1" s="403"/>
      <c r="H1" s="403"/>
      <c r="J1" s="470" t="s">
        <v>218</v>
      </c>
    </row>
    <row r="2" spans="1:10" ht="12.75">
      <c r="A2" s="7"/>
      <c r="B2" s="7"/>
      <c r="H2" s="15"/>
      <c r="J2" s="471"/>
    </row>
    <row r="3" spans="1:8" ht="12.75">
      <c r="A3" s="7"/>
      <c r="B3" s="7"/>
      <c r="H3" s="15"/>
    </row>
    <row r="5" spans="1:10" ht="12" customHeight="1">
      <c r="A5" s="429" t="s">
        <v>210</v>
      </c>
      <c r="B5" s="430"/>
      <c r="C5" s="430"/>
      <c r="D5" s="430"/>
      <c r="E5" s="430"/>
      <c r="F5" s="430"/>
      <c r="G5" s="430"/>
      <c r="H5" s="431"/>
      <c r="I5" s="24"/>
      <c r="J5" s="24"/>
    </row>
    <row r="6" spans="1:10" ht="12" customHeight="1">
      <c r="A6" s="406" t="s">
        <v>135</v>
      </c>
      <c r="B6" s="407"/>
      <c r="C6" s="407"/>
      <c r="D6" s="407"/>
      <c r="E6" s="407"/>
      <c r="F6" s="407"/>
      <c r="G6" s="407"/>
      <c r="H6" s="408"/>
      <c r="I6" s="24"/>
      <c r="J6" s="24"/>
    </row>
    <row r="7" spans="1:10" ht="12" customHeight="1">
      <c r="A7" s="24"/>
      <c r="B7" s="24"/>
      <c r="C7" s="24"/>
      <c r="D7" s="24"/>
      <c r="E7" s="24"/>
      <c r="F7" s="24"/>
      <c r="G7" s="24"/>
      <c r="H7" s="24"/>
      <c r="I7" s="24"/>
      <c r="J7" s="24"/>
    </row>
    <row r="8" spans="1:10" ht="12" customHeight="1">
      <c r="A8" s="404" t="s">
        <v>40</v>
      </c>
      <c r="B8" s="426" t="s">
        <v>6</v>
      </c>
      <c r="C8" s="426"/>
      <c r="D8" s="59"/>
      <c r="E8" s="468" t="s">
        <v>140</v>
      </c>
      <c r="F8" s="466"/>
      <c r="G8" s="466"/>
      <c r="H8" s="466"/>
      <c r="I8" s="466"/>
      <c r="J8" s="467"/>
    </row>
    <row r="9" spans="1:10" ht="12" customHeight="1">
      <c r="A9" s="405"/>
      <c r="B9" s="28" t="s">
        <v>0</v>
      </c>
      <c r="C9" s="28">
        <v>0</v>
      </c>
      <c r="D9" s="34" t="s">
        <v>54</v>
      </c>
      <c r="E9" s="151" t="s">
        <v>24</v>
      </c>
      <c r="F9" s="152" t="s">
        <v>4</v>
      </c>
      <c r="G9" s="474" t="s">
        <v>77</v>
      </c>
      <c r="H9" s="475"/>
      <c r="I9" s="468" t="s">
        <v>75</v>
      </c>
      <c r="J9" s="467"/>
    </row>
    <row r="10" spans="1:10" ht="12" customHeight="1">
      <c r="A10" s="50" t="s">
        <v>0</v>
      </c>
      <c r="B10" s="127">
        <v>20</v>
      </c>
      <c r="C10" s="129">
        <v>262</v>
      </c>
      <c r="D10" s="310">
        <f>SUM(B10:C10)</f>
        <v>282</v>
      </c>
      <c r="E10" s="155">
        <f>E$13*B10/D10</f>
        <v>7.092198581560283</v>
      </c>
      <c r="F10" s="156">
        <f>E$13*SQRT(B10*C10/D10^3)</f>
        <v>1.52859340320614</v>
      </c>
      <c r="G10" s="122">
        <f>(E10-1.96*F10)</f>
        <v>4.096155511276249</v>
      </c>
      <c r="H10" s="157">
        <f>E10+1.96*F10</f>
        <v>10.088241651844317</v>
      </c>
      <c r="I10" s="158">
        <f>$E$13*B10/(B10+(C10+1)*FINV(0.025,2*C10+2,2*B10))</f>
        <v>4.385638408510746</v>
      </c>
      <c r="J10" s="159">
        <f>$E$13*(B10+1)/(B10+1+C10/FINV(0.025,2*B10+2,2*C10))</f>
        <v>10.741000095019658</v>
      </c>
    </row>
    <row r="11" spans="1:10" ht="12" customHeight="1">
      <c r="A11" s="50">
        <v>0</v>
      </c>
      <c r="B11" s="132">
        <v>52</v>
      </c>
      <c r="C11" s="134">
        <v>1723</v>
      </c>
      <c r="D11" s="310">
        <f>SUM(B11:C11)</f>
        <v>1775</v>
      </c>
      <c r="E11" s="155">
        <f>E$13*B11/D11</f>
        <v>2.9295774647887325</v>
      </c>
      <c r="F11" s="156">
        <f>E$13*SQRT(B11*C11/D11^3)</f>
        <v>0.40026422425071706</v>
      </c>
      <c r="G11" s="122">
        <f>(E11-1.96*F11)</f>
        <v>2.145059585257327</v>
      </c>
      <c r="H11" s="157">
        <f>E11+1.96*F11</f>
        <v>3.714095344320138</v>
      </c>
      <c r="I11" s="119">
        <f>$E$13*B11/(B11+(C11+1)*FINV(0.025,2*C11+2,2*B11))</f>
        <v>2.1955205429686355</v>
      </c>
      <c r="J11" s="162">
        <f>$E$13*(B11+1)/(B11+1+C11/FINV(0.025,2*B11+2,2*C11))</f>
        <v>3.8241583864937527</v>
      </c>
    </row>
    <row r="12" spans="1:10" ht="12" customHeight="1">
      <c r="A12" s="27" t="s">
        <v>54</v>
      </c>
      <c r="B12" s="311">
        <f>SUM(B10:B11)</f>
        <v>72</v>
      </c>
      <c r="C12" s="311">
        <f>SUM(C10:C11)</f>
        <v>1985</v>
      </c>
      <c r="D12" s="312">
        <f>SUM(D10:D11)</f>
        <v>2057</v>
      </c>
      <c r="E12" s="163">
        <f>E$13*B12/D12</f>
        <v>3.5002430724355857</v>
      </c>
      <c r="F12" s="164">
        <f>E$13*SQRT(B12*C12/D12^3)</f>
        <v>0.4052239132533403</v>
      </c>
      <c r="G12" s="165">
        <f>(E12-1.96*F12)</f>
        <v>2.706004202459039</v>
      </c>
      <c r="H12" s="166">
        <f>E12+1.96*F12</f>
        <v>4.2944819424121325</v>
      </c>
      <c r="I12" s="167">
        <f>$E$13*B12/(B12+(C12+1)*FINV(0.025,2*C12+2,2*B12))</f>
        <v>2.748600169647606</v>
      </c>
      <c r="J12" s="168">
        <f>$E$13*(B12+1)/(B12+1+C12/FINV(0.025,2*B12+2,2*C12))</f>
        <v>4.387860091779885</v>
      </c>
    </row>
    <row r="13" spans="1:10" ht="12" customHeight="1">
      <c r="A13" s="24"/>
      <c r="B13" s="24"/>
      <c r="C13" s="24"/>
      <c r="D13" s="44" t="s">
        <v>16</v>
      </c>
      <c r="E13" s="169">
        <v>100</v>
      </c>
      <c r="F13" s="24"/>
      <c r="G13" s="24"/>
      <c r="H13" s="24"/>
      <c r="I13" s="24"/>
      <c r="J13" s="24"/>
    </row>
    <row r="14" spans="1:10" ht="12" customHeight="1">
      <c r="A14" s="24"/>
      <c r="B14" s="24"/>
      <c r="C14" s="24"/>
      <c r="D14" s="44"/>
      <c r="E14" s="24"/>
      <c r="F14" s="24"/>
      <c r="G14" s="24"/>
      <c r="H14" s="24"/>
      <c r="I14" s="24"/>
      <c r="J14" s="24"/>
    </row>
    <row r="15" spans="1:10" ht="12" customHeight="1">
      <c r="A15" s="24"/>
      <c r="B15" s="476" t="s">
        <v>138</v>
      </c>
      <c r="C15" s="476"/>
      <c r="D15" s="24"/>
      <c r="E15" s="170"/>
      <c r="F15" s="24"/>
      <c r="G15" s="24"/>
      <c r="H15" s="24"/>
      <c r="I15" s="24"/>
      <c r="J15" s="24"/>
    </row>
    <row r="16" spans="1:10" ht="12" customHeight="1">
      <c r="A16" s="49"/>
      <c r="B16" s="171" t="s">
        <v>7</v>
      </c>
      <c r="C16" s="172" t="s">
        <v>4</v>
      </c>
      <c r="D16" s="409" t="s">
        <v>18</v>
      </c>
      <c r="E16" s="410"/>
      <c r="F16" s="175"/>
      <c r="G16" s="175"/>
      <c r="H16" s="24"/>
      <c r="I16" s="24"/>
      <c r="J16" s="24"/>
    </row>
    <row r="17" spans="1:10" ht="12" customHeight="1">
      <c r="A17" s="49"/>
      <c r="B17" s="176">
        <f>E10/E11</f>
        <v>2.4208947081287504</v>
      </c>
      <c r="C17" s="177"/>
      <c r="D17" s="123">
        <f>EXP(D18)</f>
        <v>1.4680973878139276</v>
      </c>
      <c r="E17" s="178">
        <f>EXP(E18)</f>
        <v>3.9920588623706474</v>
      </c>
      <c r="F17" s="24" t="s">
        <v>101</v>
      </c>
      <c r="G17" s="179"/>
      <c r="H17" s="24"/>
      <c r="I17" s="24"/>
      <c r="J17" s="24"/>
    </row>
    <row r="18" spans="1:10" ht="12" customHeight="1">
      <c r="A18" s="24"/>
      <c r="B18" s="180">
        <f>LN(B17)</f>
        <v>0.8841371859439661</v>
      </c>
      <c r="C18" s="180">
        <f>SQRT(1/B10+1/B11-1/D10-1/D11)</f>
        <v>0.25518873340784254</v>
      </c>
      <c r="D18" s="180">
        <f>B18-1.96*C18</f>
        <v>0.3839672684645947</v>
      </c>
      <c r="E18" s="180">
        <f>B18+1.96*C18</f>
        <v>1.3843071034233374</v>
      </c>
      <c r="F18" s="24"/>
      <c r="G18" s="24"/>
      <c r="H18" s="24"/>
      <c r="I18" s="24"/>
      <c r="J18" s="24"/>
    </row>
    <row r="19" spans="1:10" ht="12" customHeight="1">
      <c r="A19" s="24"/>
      <c r="B19" s="180"/>
      <c r="C19" s="180"/>
      <c r="D19" s="180"/>
      <c r="E19" s="180"/>
      <c r="F19" s="24"/>
      <c r="G19" s="24"/>
      <c r="H19" s="24"/>
      <c r="I19" s="24"/>
      <c r="J19" s="24"/>
    </row>
    <row r="20" spans="1:10" ht="12" customHeight="1">
      <c r="A20" s="24"/>
      <c r="B20" s="477" t="s">
        <v>224</v>
      </c>
      <c r="C20" s="477"/>
      <c r="D20" s="392">
        <f>E13</f>
        <v>100</v>
      </c>
      <c r="E20" s="181"/>
      <c r="F20" s="24"/>
      <c r="G20" s="24"/>
      <c r="H20" s="24"/>
      <c r="I20" s="24"/>
      <c r="J20" s="24"/>
    </row>
    <row r="21" spans="1:10" ht="12" customHeight="1">
      <c r="A21" s="24"/>
      <c r="B21" s="171" t="s">
        <v>17</v>
      </c>
      <c r="C21" s="172" t="s">
        <v>4</v>
      </c>
      <c r="D21" s="409" t="s">
        <v>18</v>
      </c>
      <c r="E21" s="410"/>
      <c r="F21" s="181"/>
      <c r="G21" s="181"/>
      <c r="H21" s="24"/>
      <c r="I21" s="24"/>
      <c r="J21" s="24"/>
    </row>
    <row r="22" spans="1:10" ht="12" customHeight="1">
      <c r="A22" s="24"/>
      <c r="B22" s="176">
        <f>E10-E11</f>
        <v>4.16262111677155</v>
      </c>
      <c r="C22" s="177">
        <f>SQRT(F10*F10+F11*F11)</f>
        <v>1.5801295015094037</v>
      </c>
      <c r="D22" s="123">
        <f>B22-1.96*C22</f>
        <v>1.0655672938131193</v>
      </c>
      <c r="E22" s="178">
        <f>B22+1.96*C22</f>
        <v>7.259674939729981</v>
      </c>
      <c r="F22" s="181" t="s">
        <v>101</v>
      </c>
      <c r="G22" s="181"/>
      <c r="H22" s="24"/>
      <c r="I22" s="24"/>
      <c r="J22" s="24"/>
    </row>
    <row r="23" spans="1:10" ht="12" customHeight="1">
      <c r="A23" s="24"/>
      <c r="B23" s="182"/>
      <c r="C23" s="182"/>
      <c r="D23" s="182"/>
      <c r="E23" s="182"/>
      <c r="F23" s="181"/>
      <c r="G23" s="181"/>
      <c r="H23" s="24"/>
      <c r="I23" s="24"/>
      <c r="J23" s="24"/>
    </row>
    <row r="24" spans="1:10" ht="12" customHeight="1">
      <c r="A24" s="24"/>
      <c r="B24" s="478" t="s">
        <v>139</v>
      </c>
      <c r="C24" s="478"/>
      <c r="D24" s="182"/>
      <c r="E24" s="182"/>
      <c r="F24" s="181"/>
      <c r="G24" s="181"/>
      <c r="H24" s="24"/>
      <c r="I24" s="24"/>
      <c r="J24" s="24"/>
    </row>
    <row r="25" spans="1:10" ht="12" customHeight="1">
      <c r="A25" s="24"/>
      <c r="B25" s="58" t="s">
        <v>3</v>
      </c>
      <c r="C25" s="59" t="s">
        <v>4</v>
      </c>
      <c r="D25" s="473" t="s">
        <v>18</v>
      </c>
      <c r="E25" s="427"/>
      <c r="F25" s="44" t="s">
        <v>22</v>
      </c>
      <c r="G25" s="135">
        <f>B27/C27</f>
        <v>3.419879909208241</v>
      </c>
      <c r="H25" s="24"/>
      <c r="I25" s="24"/>
      <c r="J25" s="24"/>
    </row>
    <row r="26" spans="1:10" ht="12" customHeight="1">
      <c r="A26" s="24"/>
      <c r="B26" s="165">
        <f>B10*C11/B11/C10</f>
        <v>2.529359953024075</v>
      </c>
      <c r="C26" s="163"/>
      <c r="D26" s="165">
        <f>EXP(D27)</f>
        <v>1.4860634975321936</v>
      </c>
      <c r="E26" s="166">
        <f>EXP(E27)</f>
        <v>4.305106600482497</v>
      </c>
      <c r="F26" s="44" t="s">
        <v>129</v>
      </c>
      <c r="G26" s="183">
        <f>2*(1-NORMSDIST(ABS(G25)))</f>
        <v>0.000626487858964131</v>
      </c>
      <c r="H26" s="24"/>
      <c r="I26" s="24"/>
      <c r="J26" s="24"/>
    </row>
    <row r="27" spans="1:10" ht="12" customHeight="1">
      <c r="A27" s="44"/>
      <c r="B27" s="180">
        <f>LN(B26)</f>
        <v>0.9279662877393964</v>
      </c>
      <c r="C27" s="180">
        <f>SQRT(1/B10+1/B11+1/C10+1/C11)</f>
        <v>0.27134469992375726</v>
      </c>
      <c r="D27" s="180">
        <f>B27-1.96*C27</f>
        <v>0.3961306758888321</v>
      </c>
      <c r="E27" s="180">
        <f>B27+1.96*C27</f>
        <v>1.4598018995899606</v>
      </c>
      <c r="H27" s="24"/>
      <c r="I27" s="24"/>
      <c r="J27" s="24"/>
    </row>
    <row r="28" spans="1:10" ht="12" customHeight="1">
      <c r="A28" s="44"/>
      <c r="B28" s="180"/>
      <c r="C28" s="180"/>
      <c r="D28" s="180"/>
      <c r="E28" s="180"/>
      <c r="H28" s="24"/>
      <c r="I28" s="24"/>
      <c r="J28" s="24"/>
    </row>
    <row r="29" spans="1:10" ht="12" customHeight="1">
      <c r="A29" s="44"/>
      <c r="B29" s="184" t="s">
        <v>66</v>
      </c>
      <c r="C29" s="180"/>
      <c r="D29" s="180"/>
      <c r="E29" s="180"/>
      <c r="F29" s="44"/>
      <c r="G29" s="183"/>
      <c r="H29" s="24"/>
      <c r="I29" s="24"/>
      <c r="J29" s="24"/>
    </row>
    <row r="30" spans="1:10" ht="12" customHeight="1">
      <c r="A30" s="24"/>
      <c r="B30" s="185">
        <f>$D10*B$12/$D$12</f>
        <v>9.870685464268352</v>
      </c>
      <c r="C30" s="186">
        <f>$D10*C$12/$D$12</f>
        <v>272.1293145357316</v>
      </c>
      <c r="D30" s="24"/>
      <c r="E30" s="24"/>
      <c r="F30" s="24"/>
      <c r="G30" s="24"/>
      <c r="H30" s="24"/>
      <c r="I30" s="24"/>
      <c r="J30" s="24"/>
    </row>
    <row r="31" spans="1:10" ht="12" customHeight="1">
      <c r="A31" s="24"/>
      <c r="B31" s="187">
        <f>$D11*B$12/$D$12</f>
        <v>62.129314535731645</v>
      </c>
      <c r="C31" s="188">
        <f>$D11*C$12/$D$12</f>
        <v>1712.8706854642683</v>
      </c>
      <c r="D31" s="24"/>
      <c r="E31" s="24"/>
      <c r="F31" s="24"/>
      <c r="G31" s="24"/>
      <c r="H31" s="24"/>
      <c r="I31" s="24"/>
      <c r="J31" s="24"/>
    </row>
    <row r="32" spans="1:10" ht="12" customHeight="1">
      <c r="A32" s="24"/>
      <c r="B32" s="182"/>
      <c r="C32" s="182"/>
      <c r="D32" s="24"/>
      <c r="E32" s="24"/>
      <c r="F32" s="24"/>
      <c r="G32" s="24"/>
      <c r="H32" s="24"/>
      <c r="I32" s="24"/>
      <c r="J32" s="24"/>
    </row>
    <row r="33" spans="1:10" ht="12" customHeight="1">
      <c r="A33" s="24"/>
      <c r="B33" s="189" t="s">
        <v>67</v>
      </c>
      <c r="C33" s="140"/>
      <c r="D33" s="24"/>
      <c r="E33" s="24"/>
      <c r="F33" s="24"/>
      <c r="G33" s="24"/>
      <c r="H33" s="24"/>
      <c r="I33" s="24"/>
      <c r="J33" s="24"/>
    </row>
    <row r="34" spans="1:10" ht="12" customHeight="1">
      <c r="A34" s="24"/>
      <c r="B34" s="185">
        <f>((B10-B30)^2)/B30</f>
        <v>10.394720137239196</v>
      </c>
      <c r="C34" s="186">
        <f>((C10-C30)^2)/C30</f>
        <v>0.3770377077487247</v>
      </c>
      <c r="D34" s="44" t="s">
        <v>23</v>
      </c>
      <c r="E34" s="189">
        <f>SUM(B34:C35)</f>
        <v>12.483101908247972</v>
      </c>
      <c r="F34" s="24"/>
      <c r="G34" s="24"/>
      <c r="H34" s="24"/>
      <c r="I34" s="24"/>
      <c r="J34" s="24"/>
    </row>
    <row r="35" spans="1:10" ht="12" customHeight="1">
      <c r="A35" s="24"/>
      <c r="B35" s="187">
        <f>((B11-B31)^2)/B31</f>
        <v>1.651442861240254</v>
      </c>
      <c r="C35" s="188">
        <f>((C11-C31)^2)/C31</f>
        <v>0.059901202019798726</v>
      </c>
      <c r="D35" s="44" t="s">
        <v>129</v>
      </c>
      <c r="E35" s="183">
        <f>CHIDIST(E34,1)</f>
        <v>0.0004106497518391829</v>
      </c>
      <c r="F35" s="24"/>
      <c r="G35" s="24"/>
      <c r="H35" s="24"/>
      <c r="I35" s="24"/>
      <c r="J35" s="24"/>
    </row>
    <row r="36" spans="1:10" ht="12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</row>
  </sheetData>
  <sheetProtection sheet="1" objects="1" scenarios="1"/>
  <mergeCells count="15">
    <mergeCell ref="D25:E25"/>
    <mergeCell ref="B8:C8"/>
    <mergeCell ref="G9:H9"/>
    <mergeCell ref="D16:E16"/>
    <mergeCell ref="B15:C15"/>
    <mergeCell ref="B20:C20"/>
    <mergeCell ref="B24:C24"/>
    <mergeCell ref="A8:A9"/>
    <mergeCell ref="A5:H5"/>
    <mergeCell ref="A6:H6"/>
    <mergeCell ref="D21:E21"/>
    <mergeCell ref="C1:H1"/>
    <mergeCell ref="I9:J9"/>
    <mergeCell ref="E8:J8"/>
    <mergeCell ref="J1:J2"/>
  </mergeCells>
  <hyperlinks>
    <hyperlink ref="J1:J2" location="Start!A1" display="Start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K31"/>
  <sheetViews>
    <sheetView workbookViewId="0" topLeftCell="A1">
      <selection activeCell="I1" sqref="I1:I2"/>
    </sheetView>
  </sheetViews>
  <sheetFormatPr defaultColWidth="9.140625" defaultRowHeight="12.75"/>
  <cols>
    <col min="1" max="1" width="6.28125" style="0" customWidth="1"/>
    <col min="2" max="2" width="8.7109375" style="0" customWidth="1"/>
    <col min="3" max="3" width="11.140625" style="0" customWidth="1"/>
    <col min="4" max="9" width="8.7109375" style="0" customWidth="1"/>
    <col min="10" max="10" width="0" style="0" hidden="1" customWidth="1"/>
  </cols>
  <sheetData>
    <row r="1" spans="1:11" ht="12.75">
      <c r="A1" s="461" t="s">
        <v>183</v>
      </c>
      <c r="B1" s="461"/>
      <c r="C1" s="461" t="s">
        <v>176</v>
      </c>
      <c r="D1" s="461"/>
      <c r="E1" s="461"/>
      <c r="F1" s="461"/>
      <c r="G1" s="461"/>
      <c r="I1" s="479" t="s">
        <v>218</v>
      </c>
      <c r="K1" s="7"/>
    </row>
    <row r="2" spans="7:9" ht="12.75">
      <c r="G2" s="15"/>
      <c r="I2" s="480"/>
    </row>
    <row r="4" spans="1:9" ht="12.75">
      <c r="A4" s="24"/>
      <c r="B4" s="24"/>
      <c r="C4" s="24"/>
      <c r="D4" s="24"/>
      <c r="E4" s="24"/>
      <c r="F4" s="24"/>
      <c r="G4" s="24"/>
      <c r="H4" s="24"/>
      <c r="I4" s="24"/>
    </row>
    <row r="5" spans="1:9" ht="12.75">
      <c r="A5" s="429" t="s">
        <v>211</v>
      </c>
      <c r="B5" s="430"/>
      <c r="C5" s="430"/>
      <c r="D5" s="430"/>
      <c r="E5" s="430"/>
      <c r="F5" s="430"/>
      <c r="G5" s="431"/>
      <c r="H5" s="24"/>
      <c r="I5" s="24"/>
    </row>
    <row r="6" spans="1:9" ht="12.75">
      <c r="A6" s="406" t="s">
        <v>136</v>
      </c>
      <c r="B6" s="407"/>
      <c r="C6" s="407"/>
      <c r="D6" s="407"/>
      <c r="E6" s="407"/>
      <c r="F6" s="407"/>
      <c r="G6" s="408"/>
      <c r="H6" s="24"/>
      <c r="I6" s="24"/>
    </row>
    <row r="7" spans="1:9" ht="12.75">
      <c r="A7" s="46"/>
      <c r="B7" s="24"/>
      <c r="C7" s="24"/>
      <c r="D7" s="24"/>
      <c r="E7" s="24"/>
      <c r="F7" s="24"/>
      <c r="G7" s="24"/>
      <c r="H7" s="24"/>
      <c r="I7" s="24"/>
    </row>
    <row r="8" spans="1:11" ht="12.75">
      <c r="A8" s="27" t="s">
        <v>137</v>
      </c>
      <c r="B8" s="28" t="s">
        <v>10</v>
      </c>
      <c r="C8" s="28" t="s">
        <v>11</v>
      </c>
      <c r="D8" s="27" t="s">
        <v>12</v>
      </c>
      <c r="E8" s="172" t="s">
        <v>4</v>
      </c>
      <c r="F8" s="468" t="s">
        <v>77</v>
      </c>
      <c r="G8" s="467"/>
      <c r="H8" s="473" t="s">
        <v>75</v>
      </c>
      <c r="I8" s="427"/>
      <c r="J8" s="1" t="s">
        <v>86</v>
      </c>
      <c r="K8" s="1"/>
    </row>
    <row r="9" spans="1:10" ht="12.75">
      <c r="A9" s="50" t="s">
        <v>0</v>
      </c>
      <c r="B9" s="190">
        <v>139</v>
      </c>
      <c r="C9" s="191">
        <v>99742</v>
      </c>
      <c r="D9" s="192">
        <f>B9/C9*D$12</f>
        <v>1.3935954763289287</v>
      </c>
      <c r="E9" s="193"/>
      <c r="F9" s="122">
        <f aca="true" t="shared" si="0" ref="F9:G11">EXP(F13)</f>
        <v>1.1801505922208724</v>
      </c>
      <c r="G9" s="157">
        <f t="shared" si="0"/>
        <v>1.645644517272738</v>
      </c>
      <c r="H9" s="158">
        <f>$D$12*0.5*CHIINV(0.975,2*B9)/C9</f>
        <v>1.1715585551198637</v>
      </c>
      <c r="I9" s="159">
        <f>$D$12*0.5*CHIINV(0.025,2*B9+2)/C9</f>
        <v>1.6454729150270173</v>
      </c>
      <c r="J9">
        <f>B9/(B9+(B10+1)*FINV(0.025,2*B10+2,2*B9))</f>
        <v>0.7563880128437485</v>
      </c>
    </row>
    <row r="10" spans="1:10" ht="12.75">
      <c r="A10" s="50">
        <v>0</v>
      </c>
      <c r="B10" s="194">
        <v>30</v>
      </c>
      <c r="C10" s="195">
        <v>36181</v>
      </c>
      <c r="D10" s="192">
        <f>B10/C10*D$12</f>
        <v>0.8291644785937371</v>
      </c>
      <c r="E10" s="193"/>
      <c r="F10" s="122">
        <f t="shared" si="0"/>
        <v>0.5797361795664472</v>
      </c>
      <c r="G10" s="157">
        <f t="shared" si="0"/>
        <v>1.1859079298376334</v>
      </c>
      <c r="H10" s="196">
        <f>$D$12*0.5*CHIINV(0.975,2*B10)/C10</f>
        <v>0.559433797178128</v>
      </c>
      <c r="I10" s="197">
        <f>$D$12*0.5*CHIINV(0.025,2*B10+2)/C10</f>
        <v>1.18368385287464</v>
      </c>
      <c r="J10">
        <f>(B9+1)/(B9+1+B10/FINV(0.025,2*B9+2,2*B10))</f>
        <v>0.8769104668997107</v>
      </c>
    </row>
    <row r="11" spans="1:9" ht="12.75">
      <c r="A11" s="27" t="s">
        <v>54</v>
      </c>
      <c r="B11" s="98">
        <f>SUM(B9:B10)</f>
        <v>169</v>
      </c>
      <c r="C11" s="198">
        <f>SUM(C9:C10)</f>
        <v>135923</v>
      </c>
      <c r="D11" s="199">
        <f>B11/C11*D$12</f>
        <v>1.243351014912855</v>
      </c>
      <c r="E11" s="89"/>
      <c r="F11" s="165">
        <f t="shared" si="0"/>
        <v>1.0693392509234327</v>
      </c>
      <c r="G11" s="166">
        <f t="shared" si="0"/>
        <v>1.4456794183415966</v>
      </c>
      <c r="H11" s="196">
        <f>$D$12*0.5*CHIINV(0.975,2*B11)/C11</f>
        <v>1.0629579375299556</v>
      </c>
      <c r="I11" s="197">
        <f>$D$12*0.5*CHIINV(0.025,2*B11+2)/C11</f>
        <v>1.4455859746470994</v>
      </c>
    </row>
    <row r="12" spans="1:9" ht="12.75">
      <c r="A12" s="24"/>
      <c r="B12" s="24"/>
      <c r="C12" s="44" t="s">
        <v>13</v>
      </c>
      <c r="D12" s="200">
        <v>1000</v>
      </c>
      <c r="E12" s="46"/>
      <c r="F12" s="46"/>
      <c r="G12" s="24"/>
      <c r="H12" s="24"/>
      <c r="I12" s="24"/>
    </row>
    <row r="13" spans="1:9" ht="12.75">
      <c r="A13" s="24"/>
      <c r="B13" s="24"/>
      <c r="C13" s="44"/>
      <c r="D13" s="180">
        <f>LN(D9)</f>
        <v>0.33188708107820425</v>
      </c>
      <c r="E13" s="180">
        <f>SQRT(1/B9)</f>
        <v>0.08481889296799709</v>
      </c>
      <c r="F13" s="180">
        <f>D13-1.96*E13</f>
        <v>0.16564205086092995</v>
      </c>
      <c r="G13" s="180">
        <f>D13+1.96*E13</f>
        <v>0.4981321112954785</v>
      </c>
      <c r="H13" s="24"/>
      <c r="I13" s="24"/>
    </row>
    <row r="14" spans="1:9" ht="12.75">
      <c r="A14" s="24"/>
      <c r="B14" s="24"/>
      <c r="C14" s="24"/>
      <c r="D14" s="180">
        <f>LN(D10)</f>
        <v>-0.18733673750290586</v>
      </c>
      <c r="E14" s="180">
        <f>SQRT(1/B10)</f>
        <v>0.18257418583505536</v>
      </c>
      <c r="F14" s="180">
        <f>D14-1.96*E14</f>
        <v>-0.5451821417396143</v>
      </c>
      <c r="G14" s="180">
        <f>D14+1.96*E14</f>
        <v>0.17050866673380266</v>
      </c>
      <c r="H14" s="24"/>
      <c r="I14" s="24"/>
    </row>
    <row r="15" spans="1:9" ht="12.75">
      <c r="A15" s="24"/>
      <c r="B15" s="24"/>
      <c r="C15" s="24"/>
      <c r="D15" s="180">
        <f>LN(D11)</f>
        <v>0.21781016599603034</v>
      </c>
      <c r="E15" s="180">
        <f>SQRT(1/B11)</f>
        <v>0.07692307692307693</v>
      </c>
      <c r="F15" s="180">
        <f>D15-1.96*E15</f>
        <v>0.06704093522679958</v>
      </c>
      <c r="G15" s="180">
        <f>D15+1.96*E15</f>
        <v>0.3685793967652611</v>
      </c>
      <c r="H15" s="24"/>
      <c r="I15" s="24"/>
    </row>
    <row r="16" spans="1:9" ht="12.75">
      <c r="A16" s="24"/>
      <c r="B16" s="24"/>
      <c r="C16" s="24"/>
      <c r="D16" s="180"/>
      <c r="E16" s="180"/>
      <c r="F16" s="180"/>
      <c r="G16" s="180"/>
      <c r="H16" s="24"/>
      <c r="I16" s="24"/>
    </row>
    <row r="17" spans="1:9" ht="12.75">
      <c r="A17" s="24"/>
      <c r="B17" s="476" t="s">
        <v>141</v>
      </c>
      <c r="C17" s="476"/>
      <c r="D17" s="394"/>
      <c r="E17" s="201"/>
      <c r="F17" s="201"/>
      <c r="G17" s="24"/>
      <c r="H17" s="24"/>
      <c r="I17" s="24"/>
    </row>
    <row r="18" spans="1:9" ht="12.75">
      <c r="A18" s="24"/>
      <c r="B18" s="27" t="s">
        <v>14</v>
      </c>
      <c r="C18" s="28" t="s">
        <v>4</v>
      </c>
      <c r="D18" s="468" t="s">
        <v>77</v>
      </c>
      <c r="E18" s="467"/>
      <c r="F18" s="468" t="s">
        <v>75</v>
      </c>
      <c r="G18" s="467"/>
      <c r="H18" s="202" t="s">
        <v>22</v>
      </c>
      <c r="I18" s="184">
        <f>B20/C20</f>
        <v>2.5791659225493464</v>
      </c>
    </row>
    <row r="19" spans="1:9" ht="12.75">
      <c r="A19" s="24"/>
      <c r="B19" s="176">
        <f>D9/D10</f>
        <v>1.6807225976352322</v>
      </c>
      <c r="C19" s="177"/>
      <c r="D19" s="123">
        <f>EXP(D20)</f>
        <v>1.1327486978847325</v>
      </c>
      <c r="E19" s="178">
        <f>EXP(E20)</f>
        <v>2.493782120850581</v>
      </c>
      <c r="F19" s="196">
        <f>J9*C10/((1-J9)*C9)</f>
        <v>1.12628545851786</v>
      </c>
      <c r="G19" s="197">
        <f>J10*C10/((1-J10)*C9)</f>
        <v>2.584262486233785</v>
      </c>
      <c r="H19" s="44" t="s">
        <v>129</v>
      </c>
      <c r="I19" s="183">
        <f>2*(1-NORMSDIST(ABS(I18)))</f>
        <v>0.009903920344659145</v>
      </c>
    </row>
    <row r="20" spans="1:9" ht="12.75">
      <c r="A20" s="44"/>
      <c r="B20" s="180">
        <f>LN(B19)</f>
        <v>0.5192238185811101</v>
      </c>
      <c r="C20" s="180">
        <f>SQRT(1/B9+1/B10)</f>
        <v>0.20131462425181604</v>
      </c>
      <c r="D20" s="180">
        <f>B20-1.96*C20</f>
        <v>0.1246471550475507</v>
      </c>
      <c r="E20" s="180">
        <f>B20+1.96*C20</f>
        <v>0.9138004821146695</v>
      </c>
      <c r="F20" s="24"/>
      <c r="G20" s="202"/>
      <c r="H20" s="24"/>
      <c r="I20" s="24"/>
    </row>
    <row r="21" spans="1:9" ht="12.75">
      <c r="A21" s="44"/>
      <c r="B21" s="203"/>
      <c r="C21" s="203"/>
      <c r="D21" s="203"/>
      <c r="E21" s="203"/>
      <c r="F21" s="24"/>
      <c r="G21" s="44"/>
      <c r="H21" s="24"/>
      <c r="I21" s="24"/>
    </row>
    <row r="22" spans="1:9" ht="12.75">
      <c r="A22" s="44"/>
      <c r="B22" s="481" t="s">
        <v>225</v>
      </c>
      <c r="C22" s="481"/>
      <c r="D22" s="481"/>
      <c r="E22" s="393">
        <f>D12</f>
        <v>1000</v>
      </c>
      <c r="F22" s="45"/>
      <c r="G22" s="204"/>
      <c r="H22" s="24"/>
      <c r="I22" s="24"/>
    </row>
    <row r="23" spans="1:9" ht="12.75">
      <c r="A23" s="44"/>
      <c r="B23" s="27" t="s">
        <v>19</v>
      </c>
      <c r="C23" s="28" t="s">
        <v>4</v>
      </c>
      <c r="D23" s="468" t="s">
        <v>77</v>
      </c>
      <c r="E23" s="467"/>
      <c r="F23" s="201"/>
      <c r="G23" s="24"/>
      <c r="H23" s="24"/>
      <c r="I23" s="24"/>
    </row>
    <row r="24" spans="1:9" ht="12.75">
      <c r="A24" s="44"/>
      <c r="B24" s="176">
        <f>D9-D10</f>
        <v>0.5644309977351916</v>
      </c>
      <c r="C24" s="303">
        <f>D12*SQRT(B9/C9^2+B10/C10^2)</f>
        <v>0.19206542361533221</v>
      </c>
      <c r="D24" s="123">
        <f>B24-1.96*C24</f>
        <v>0.18798276744914044</v>
      </c>
      <c r="E24" s="178">
        <f>B24+1.96*C24</f>
        <v>0.9408792280212427</v>
      </c>
      <c r="F24" s="201"/>
      <c r="G24" s="24"/>
      <c r="H24" s="24"/>
      <c r="I24" s="24"/>
    </row>
    <row r="25" spans="1:9" ht="12.75">
      <c r="A25" s="44"/>
      <c r="B25" s="203"/>
      <c r="C25" s="203"/>
      <c r="D25" s="203"/>
      <c r="E25" s="203"/>
      <c r="F25" s="201"/>
      <c r="G25" s="24"/>
      <c r="H25" s="24"/>
      <c r="I25" s="24"/>
    </row>
    <row r="26" spans="1:9" ht="12.75">
      <c r="A26" s="24"/>
      <c r="B26" s="26" t="s">
        <v>68</v>
      </c>
      <c r="C26" s="27" t="s">
        <v>15</v>
      </c>
      <c r="D26" s="24"/>
      <c r="E26" s="24"/>
      <c r="F26" s="24"/>
      <c r="G26" s="24"/>
      <c r="H26" s="24"/>
      <c r="I26" s="24"/>
    </row>
    <row r="27" spans="1:9" ht="12.75">
      <c r="A27" s="24"/>
      <c r="B27" s="122">
        <f>B$11*C9/C$11</f>
        <v>124.014316929438</v>
      </c>
      <c r="C27" s="155">
        <f>((B9-B27)^2)/B27</f>
        <v>1.8108449302599918</v>
      </c>
      <c r="D27" s="24"/>
      <c r="E27" s="24"/>
      <c r="F27" s="24"/>
      <c r="G27" s="24"/>
      <c r="H27" s="24"/>
      <c r="I27" s="24"/>
    </row>
    <row r="28" spans="1:9" ht="12.75">
      <c r="A28" s="24"/>
      <c r="B28" s="122">
        <f>B$11*C10/C$11</f>
        <v>44.98568307056201</v>
      </c>
      <c r="C28" s="155">
        <f>((B10-B28)^2)/B28</f>
        <v>4.992048175395712</v>
      </c>
      <c r="D28" s="24"/>
      <c r="E28" s="24"/>
      <c r="F28" s="24"/>
      <c r="G28" s="24"/>
      <c r="H28" s="24"/>
      <c r="I28" s="24"/>
    </row>
    <row r="29" spans="1:9" ht="12.75">
      <c r="A29" s="24"/>
      <c r="B29" s="165">
        <f>SUM(B27:B28)</f>
        <v>169</v>
      </c>
      <c r="C29" s="163">
        <f>SUM(C27:C28)</f>
        <v>6.802893105655704</v>
      </c>
      <c r="D29" s="44" t="s">
        <v>129</v>
      </c>
      <c r="E29" s="183">
        <f>CHIDIST(C29,1)</f>
        <v>0.00910102867017524</v>
      </c>
      <c r="F29" s="24"/>
      <c r="G29" s="24"/>
      <c r="H29" s="24"/>
      <c r="I29" s="24"/>
    </row>
    <row r="30" spans="1:9" ht="12.75">
      <c r="A30" s="24"/>
      <c r="D30" s="24"/>
      <c r="E30" s="24"/>
      <c r="F30" s="24"/>
      <c r="G30" s="24"/>
      <c r="H30" s="24"/>
      <c r="I30" s="24"/>
    </row>
    <row r="31" spans="1:9" ht="12.75">
      <c r="A31" s="24"/>
      <c r="B31" s="24"/>
      <c r="C31" s="140"/>
      <c r="D31" s="24"/>
      <c r="E31" s="24"/>
      <c r="F31" s="24"/>
      <c r="G31" s="24"/>
      <c r="H31" s="24"/>
      <c r="I31" s="24"/>
    </row>
  </sheetData>
  <sheetProtection sheet="1" objects="1" scenarios="1"/>
  <mergeCells count="12">
    <mergeCell ref="I1:I2"/>
    <mergeCell ref="D23:E23"/>
    <mergeCell ref="A5:G5"/>
    <mergeCell ref="A6:G6"/>
    <mergeCell ref="H8:I8"/>
    <mergeCell ref="B17:C17"/>
    <mergeCell ref="B22:D22"/>
    <mergeCell ref="F18:G18"/>
    <mergeCell ref="F8:G8"/>
    <mergeCell ref="D18:E18"/>
    <mergeCell ref="A1:B1"/>
    <mergeCell ref="C1:G1"/>
  </mergeCells>
  <hyperlinks>
    <hyperlink ref="I1:I2" location="Start!A1" display="Start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B3" sqref="B3"/>
    </sheetView>
  </sheetViews>
  <sheetFormatPr defaultColWidth="9.140625" defaultRowHeight="12.75"/>
  <cols>
    <col min="1" max="1" width="22.7109375" style="0" customWidth="1"/>
    <col min="2" max="6" width="10.7109375" style="0" customWidth="1"/>
  </cols>
  <sheetData>
    <row r="1" spans="1:8" ht="12.75">
      <c r="A1" s="7" t="s">
        <v>201</v>
      </c>
      <c r="B1" s="403" t="s">
        <v>188</v>
      </c>
      <c r="C1" s="403"/>
      <c r="D1" s="403"/>
      <c r="E1" s="482"/>
      <c r="F1" s="470" t="s">
        <v>218</v>
      </c>
      <c r="G1" s="7"/>
      <c r="H1" s="7"/>
    </row>
    <row r="2" spans="2:8" ht="12.75">
      <c r="B2" s="403" t="s">
        <v>227</v>
      </c>
      <c r="C2" s="403"/>
      <c r="D2" s="403"/>
      <c r="E2" s="482"/>
      <c r="F2" s="471"/>
      <c r="G2" s="7"/>
      <c r="H2" s="7"/>
    </row>
    <row r="3" spans="3:8" ht="12.75">
      <c r="C3" s="7"/>
      <c r="D3" s="7"/>
      <c r="E3" s="7"/>
      <c r="F3" s="7"/>
      <c r="G3" s="7"/>
      <c r="H3" s="7"/>
    </row>
    <row r="4" spans="1:8" ht="12.75">
      <c r="A4" s="24"/>
      <c r="B4" s="24"/>
      <c r="C4" s="25"/>
      <c r="D4" s="25"/>
      <c r="E4" s="7"/>
      <c r="H4" s="7"/>
    </row>
    <row r="5" spans="1:8" ht="12.75">
      <c r="A5" s="24"/>
      <c r="B5" s="24"/>
      <c r="C5" s="25"/>
      <c r="D5" s="25"/>
      <c r="E5" s="25"/>
      <c r="F5" s="25"/>
      <c r="G5" s="7"/>
      <c r="H5" s="7"/>
    </row>
    <row r="6" spans="1:8" ht="12.75">
      <c r="A6" s="483" t="s">
        <v>199</v>
      </c>
      <c r="B6" s="484"/>
      <c r="C6" s="484"/>
      <c r="D6" s="484"/>
      <c r="E6" s="484"/>
      <c r="F6" s="485"/>
      <c r="G6" s="7"/>
      <c r="H6" s="7"/>
    </row>
    <row r="7" spans="1:6" ht="12.75">
      <c r="A7" s="486" t="s">
        <v>200</v>
      </c>
      <c r="B7" s="487"/>
      <c r="C7" s="487"/>
      <c r="D7" s="487"/>
      <c r="E7" s="487"/>
      <c r="F7" s="488"/>
    </row>
    <row r="8" spans="1:6" ht="12.75">
      <c r="A8" s="24"/>
      <c r="B8" s="24"/>
      <c r="C8" s="24"/>
      <c r="D8" s="24"/>
      <c r="E8" s="24"/>
      <c r="F8" s="24"/>
    </row>
    <row r="9" spans="1:6" ht="12.75">
      <c r="A9" s="348"/>
      <c r="B9" s="330"/>
      <c r="C9" s="353"/>
      <c r="D9" s="330"/>
      <c r="E9" s="404" t="s">
        <v>193</v>
      </c>
      <c r="F9" s="404" t="s">
        <v>197</v>
      </c>
    </row>
    <row r="10" spans="1:6" ht="12.75">
      <c r="A10" s="34" t="s">
        <v>192</v>
      </c>
      <c r="B10" s="43" t="s">
        <v>128</v>
      </c>
      <c r="C10" s="309" t="s">
        <v>4</v>
      </c>
      <c r="D10" s="43" t="s">
        <v>187</v>
      </c>
      <c r="E10" s="405"/>
      <c r="F10" s="405"/>
    </row>
    <row r="11" spans="1:6" ht="12.75">
      <c r="A11" s="349" t="s">
        <v>194</v>
      </c>
      <c r="B11" s="357">
        <v>54.79</v>
      </c>
      <c r="C11" s="354">
        <v>12.38</v>
      </c>
      <c r="D11" s="337">
        <f>IF(C11&gt;0,1/(C11^2),"")</f>
        <v>0.0065246723961989855</v>
      </c>
      <c r="E11" s="343">
        <f>IF(C11&gt;0,B11*D11,"")</f>
        <v>0.3574868005877424</v>
      </c>
      <c r="F11" s="340">
        <f>IF(C11&gt;0,D11/D$26,"")</f>
        <v>0.3701234359877447</v>
      </c>
    </row>
    <row r="12" spans="1:6" ht="12.75">
      <c r="A12" s="350" t="s">
        <v>195</v>
      </c>
      <c r="B12" s="358">
        <v>44.68</v>
      </c>
      <c r="C12" s="355">
        <v>9.49</v>
      </c>
      <c r="D12" s="338">
        <f aca="true" t="shared" si="0" ref="D12:D25">IF(C12&gt;0,1/(C12^2),"")</f>
        <v>0.011103696309464457</v>
      </c>
      <c r="E12" s="344">
        <f aca="true" t="shared" si="1" ref="E12:E25">IF(C12&gt;0,B12*D12,"")</f>
        <v>0.49611315110687193</v>
      </c>
      <c r="F12" s="341">
        <f>IF(C12&gt;0,D12/D$26,"")</f>
        <v>0.6298765640122552</v>
      </c>
    </row>
    <row r="13" spans="1:6" ht="12.75">
      <c r="A13" s="350"/>
      <c r="B13" s="358"/>
      <c r="C13" s="355"/>
      <c r="D13" s="338">
        <f t="shared" si="0"/>
      </c>
      <c r="E13" s="344">
        <f t="shared" si="1"/>
      </c>
      <c r="F13" s="341">
        <f>IF(C13&gt;0,D13/D$26,"")</f>
      </c>
    </row>
    <row r="14" spans="1:6" ht="12.75">
      <c r="A14" s="350"/>
      <c r="B14" s="358"/>
      <c r="C14" s="355"/>
      <c r="D14" s="338">
        <f t="shared" si="0"/>
      </c>
      <c r="E14" s="344">
        <f t="shared" si="1"/>
      </c>
      <c r="F14" s="341">
        <f>IF(C14&gt;0,D14/D$26,"")</f>
      </c>
    </row>
    <row r="15" spans="1:6" ht="12.75">
      <c r="A15" s="350"/>
      <c r="B15" s="358"/>
      <c r="C15" s="355"/>
      <c r="D15" s="338">
        <f t="shared" si="0"/>
      </c>
      <c r="E15" s="344">
        <f t="shared" si="1"/>
      </c>
      <c r="F15" s="341">
        <f>IF(C15&gt;0,D15/D$26,"")</f>
      </c>
    </row>
    <row r="16" spans="1:6" ht="12.75">
      <c r="A16" s="350"/>
      <c r="B16" s="358"/>
      <c r="C16" s="355"/>
      <c r="D16" s="338"/>
      <c r="E16" s="344"/>
      <c r="F16" s="341"/>
    </row>
    <row r="17" spans="1:6" ht="12.75">
      <c r="A17" s="350"/>
      <c r="B17" s="358"/>
      <c r="C17" s="355"/>
      <c r="D17" s="338"/>
      <c r="E17" s="344"/>
      <c r="F17" s="341"/>
    </row>
    <row r="18" spans="1:6" ht="12.75">
      <c r="A18" s="350"/>
      <c r="B18" s="358"/>
      <c r="C18" s="355"/>
      <c r="D18" s="338"/>
      <c r="E18" s="344"/>
      <c r="F18" s="341"/>
    </row>
    <row r="19" spans="1:6" ht="12.75">
      <c r="A19" s="350"/>
      <c r="B19" s="358"/>
      <c r="C19" s="355"/>
      <c r="D19" s="338">
        <f t="shared" si="0"/>
      </c>
      <c r="E19" s="344">
        <f t="shared" si="1"/>
      </c>
      <c r="F19" s="341">
        <f aca="true" t="shared" si="2" ref="F19:F25">IF(C19&gt;0,D19/D$26,"")</f>
      </c>
    </row>
    <row r="20" spans="1:6" ht="12.75">
      <c r="A20" s="350"/>
      <c r="B20" s="358"/>
      <c r="C20" s="355"/>
      <c r="D20" s="338">
        <f t="shared" si="0"/>
      </c>
      <c r="E20" s="344">
        <f t="shared" si="1"/>
      </c>
      <c r="F20" s="341">
        <f t="shared" si="2"/>
      </c>
    </row>
    <row r="21" spans="1:6" ht="12.75">
      <c r="A21" s="350"/>
      <c r="B21" s="358"/>
      <c r="C21" s="355"/>
      <c r="D21" s="338">
        <f t="shared" si="0"/>
      </c>
      <c r="E21" s="344">
        <f t="shared" si="1"/>
      </c>
      <c r="F21" s="341">
        <f t="shared" si="2"/>
      </c>
    </row>
    <row r="22" spans="1:6" ht="12.75">
      <c r="A22" s="350"/>
      <c r="B22" s="358"/>
      <c r="C22" s="355"/>
      <c r="D22" s="338">
        <f t="shared" si="0"/>
      </c>
      <c r="E22" s="344">
        <f t="shared" si="1"/>
      </c>
      <c r="F22" s="341">
        <f t="shared" si="2"/>
      </c>
    </row>
    <row r="23" spans="1:6" ht="12.75">
      <c r="A23" s="350"/>
      <c r="B23" s="358"/>
      <c r="C23" s="355"/>
      <c r="D23" s="338">
        <f t="shared" si="0"/>
      </c>
      <c r="E23" s="344">
        <f t="shared" si="1"/>
      </c>
      <c r="F23" s="341">
        <f t="shared" si="2"/>
      </c>
    </row>
    <row r="24" spans="1:6" ht="12.75">
      <c r="A24" s="350"/>
      <c r="B24" s="358"/>
      <c r="C24" s="355"/>
      <c r="D24" s="338">
        <f t="shared" si="0"/>
      </c>
      <c r="E24" s="344">
        <f t="shared" si="1"/>
      </c>
      <c r="F24" s="341">
        <f t="shared" si="2"/>
      </c>
    </row>
    <row r="25" spans="1:6" ht="12.75">
      <c r="A25" s="351"/>
      <c r="B25" s="359"/>
      <c r="C25" s="356"/>
      <c r="D25" s="339">
        <f t="shared" si="0"/>
      </c>
      <c r="E25" s="345">
        <f t="shared" si="1"/>
      </c>
      <c r="F25" s="342">
        <f t="shared" si="2"/>
      </c>
    </row>
    <row r="26" spans="1:6" ht="12.75">
      <c r="A26" s="352" t="s">
        <v>196</v>
      </c>
      <c r="B26" s="219"/>
      <c r="C26" s="336"/>
      <c r="D26" s="332">
        <f>SUM(D11:D25)</f>
        <v>0.017628368705663443</v>
      </c>
      <c r="E26" s="333">
        <f>SUM(E11:E25)</f>
        <v>0.8535999516946143</v>
      </c>
      <c r="F26" s="331">
        <f>IF(D26&gt;0,D26/D$26,"")</f>
        <v>1</v>
      </c>
    </row>
    <row r="27" spans="1:6" s="329" customFormat="1" ht="15" customHeight="1">
      <c r="A27" s="346" t="s">
        <v>26</v>
      </c>
      <c r="B27" s="334">
        <f>E26/D26</f>
        <v>48.421947937836094</v>
      </c>
      <c r="C27" s="347">
        <f>SQRT(1/D26)</f>
        <v>7.531716029073329</v>
      </c>
      <c r="D27" s="335"/>
      <c r="E27" s="335"/>
      <c r="F27" s="335"/>
    </row>
    <row r="28" spans="1:6" ht="12.75">
      <c r="A28" s="90" t="s">
        <v>198</v>
      </c>
      <c r="B28" s="164">
        <f>B27-1.96*C27</f>
        <v>33.65978452085237</v>
      </c>
      <c r="C28" s="336">
        <f>B27+1.96*C27</f>
        <v>63.18411135481982</v>
      </c>
      <c r="D28" s="24"/>
      <c r="E28" s="24"/>
      <c r="F28" s="24"/>
    </row>
    <row r="30" spans="1:5" ht="12.75">
      <c r="A30" s="24" t="s">
        <v>206</v>
      </c>
      <c r="B30" s="24"/>
      <c r="C30" s="24"/>
      <c r="D30" s="24"/>
      <c r="E30" s="24"/>
    </row>
    <row r="31" spans="1:5" ht="12.75">
      <c r="A31" s="348" t="s">
        <v>192</v>
      </c>
      <c r="B31" s="59" t="s">
        <v>128</v>
      </c>
      <c r="C31" s="142" t="s">
        <v>4</v>
      </c>
      <c r="D31" s="46"/>
      <c r="E31" s="46"/>
    </row>
    <row r="32" spans="1:5" ht="12.75">
      <c r="A32" s="348" t="str">
        <f aca="true" t="shared" si="3" ref="A32:C33">A11</f>
        <v>Males</v>
      </c>
      <c r="B32" s="361">
        <f t="shared" si="3"/>
        <v>54.79</v>
      </c>
      <c r="C32" s="362">
        <f t="shared" si="3"/>
        <v>12.38</v>
      </c>
      <c r="D32" s="46"/>
      <c r="E32" s="46"/>
    </row>
    <row r="33" spans="1:5" ht="12.75">
      <c r="A33" s="360" t="str">
        <f t="shared" si="3"/>
        <v>Females</v>
      </c>
      <c r="B33" s="324">
        <f t="shared" si="3"/>
        <v>44.68</v>
      </c>
      <c r="C33" s="322">
        <f t="shared" si="3"/>
        <v>9.49</v>
      </c>
      <c r="D33" s="468" t="s">
        <v>18</v>
      </c>
      <c r="E33" s="467"/>
    </row>
    <row r="34" spans="1:5" ht="12.75">
      <c r="A34" s="360" t="s">
        <v>117</v>
      </c>
      <c r="B34" s="324">
        <f>B32-B33</f>
        <v>10.11</v>
      </c>
      <c r="C34" s="322">
        <f>SQRT(C32^2+C33^2)</f>
        <v>15.598862137989425</v>
      </c>
      <c r="D34" s="363">
        <f>B34-1.96*C34</f>
        <v>-20.463769790459274</v>
      </c>
      <c r="E34" s="322">
        <f>B34+1.96*C34</f>
        <v>40.68376979045927</v>
      </c>
    </row>
    <row r="35" spans="1:5" ht="12.75">
      <c r="A35" s="40"/>
      <c r="B35" s="193"/>
      <c r="C35" s="193"/>
      <c r="D35" s="193"/>
      <c r="E35" s="193"/>
    </row>
    <row r="36" spans="1:5" ht="12.75">
      <c r="A36" s="24"/>
      <c r="B36" s="27" t="s">
        <v>49</v>
      </c>
      <c r="C36" s="27" t="s">
        <v>29</v>
      </c>
      <c r="D36" s="46"/>
      <c r="E36" s="46"/>
    </row>
    <row r="37" spans="1:5" ht="12.75">
      <c r="A37" s="24"/>
      <c r="B37" s="212">
        <f>B34/C34</f>
        <v>0.6481241971732113</v>
      </c>
      <c r="C37" s="214">
        <f>2*NORMSDIST(-ABS(B37))</f>
        <v>0.5169046248057607</v>
      </c>
      <c r="D37" s="46"/>
      <c r="E37" s="46"/>
    </row>
  </sheetData>
  <sheetProtection sheet="1" objects="1" scenarios="1"/>
  <mergeCells count="8">
    <mergeCell ref="B2:E2"/>
    <mergeCell ref="D33:E33"/>
    <mergeCell ref="F9:F10"/>
    <mergeCell ref="E9:E10"/>
    <mergeCell ref="A6:F6"/>
    <mergeCell ref="A7:F7"/>
    <mergeCell ref="F1:F2"/>
    <mergeCell ref="B1:E1"/>
  </mergeCells>
  <hyperlinks>
    <hyperlink ref="F1:F2" location="Start!A1" display="Start"/>
  </hyperlink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J52"/>
  <sheetViews>
    <sheetView workbookViewId="0" topLeftCell="A1">
      <selection activeCell="I1" sqref="I1:I2"/>
    </sheetView>
  </sheetViews>
  <sheetFormatPr defaultColWidth="9.140625" defaultRowHeight="12.75"/>
  <cols>
    <col min="1" max="9" width="8.7109375" style="0" customWidth="1"/>
    <col min="10" max="10" width="9.140625" style="0" hidden="1" customWidth="1"/>
  </cols>
  <sheetData>
    <row r="1" spans="1:9" ht="12" customHeight="1">
      <c r="A1" s="7" t="s">
        <v>178</v>
      </c>
      <c r="B1" s="7"/>
      <c r="C1" s="403" t="s">
        <v>179</v>
      </c>
      <c r="D1" s="403"/>
      <c r="E1" s="403"/>
      <c r="F1" s="403"/>
      <c r="G1" s="403"/>
      <c r="H1" s="240">
        <f>IF(F1="","",1/(F1^2))</f>
      </c>
      <c r="I1" s="470" t="s">
        <v>218</v>
      </c>
    </row>
    <row r="2" spans="1:9" ht="12" customHeight="1">
      <c r="A2" s="7"/>
      <c r="B2" s="7"/>
      <c r="I2" s="471"/>
    </row>
    <row r="3" spans="1:9" ht="12" customHeight="1">
      <c r="A3" s="24"/>
      <c r="B3" s="24"/>
      <c r="C3" s="24"/>
      <c r="D3" s="24"/>
      <c r="E3" s="24"/>
      <c r="F3" s="24"/>
      <c r="G3" s="24"/>
      <c r="H3" s="24"/>
      <c r="I3" s="24"/>
    </row>
    <row r="4" spans="1:9" ht="12" customHeight="1">
      <c r="A4" s="429" t="s">
        <v>146</v>
      </c>
      <c r="B4" s="430"/>
      <c r="C4" s="430"/>
      <c r="D4" s="430"/>
      <c r="E4" s="430"/>
      <c r="F4" s="430"/>
      <c r="G4" s="431"/>
      <c r="H4" s="24"/>
      <c r="I4" s="24"/>
    </row>
    <row r="5" spans="1:9" ht="12" customHeight="1">
      <c r="A5" s="406" t="s">
        <v>147</v>
      </c>
      <c r="B5" s="407"/>
      <c r="C5" s="407"/>
      <c r="D5" s="407"/>
      <c r="E5" s="407"/>
      <c r="F5" s="407"/>
      <c r="G5" s="408"/>
      <c r="H5" s="24"/>
      <c r="I5" s="24"/>
    </row>
    <row r="6" spans="1:9" ht="12" customHeight="1">
      <c r="A6" s="24"/>
      <c r="B6" s="24"/>
      <c r="C6" s="24"/>
      <c r="D6" s="24"/>
      <c r="E6" s="180"/>
      <c r="F6" s="180"/>
      <c r="G6" s="180"/>
      <c r="H6" s="24"/>
      <c r="I6" s="24"/>
    </row>
    <row r="7" spans="1:9" ht="12" customHeight="1">
      <c r="A7" s="489" t="s">
        <v>148</v>
      </c>
      <c r="B7" s="490"/>
      <c r="C7" s="490"/>
      <c r="D7" s="491"/>
      <c r="E7" s="24"/>
      <c r="F7" s="24"/>
      <c r="G7" s="24"/>
      <c r="H7" s="24"/>
      <c r="I7" s="24"/>
    </row>
    <row r="8" spans="1:9" ht="12" customHeight="1">
      <c r="A8" s="58" t="s">
        <v>137</v>
      </c>
      <c r="B8" s="369" t="s">
        <v>1</v>
      </c>
      <c r="C8" s="370" t="s">
        <v>2</v>
      </c>
      <c r="D8" s="142" t="s">
        <v>54</v>
      </c>
      <c r="E8" s="175" t="s">
        <v>7</v>
      </c>
      <c r="F8" s="175" t="s">
        <v>4</v>
      </c>
      <c r="G8" s="175" t="s">
        <v>5</v>
      </c>
      <c r="H8" s="395" t="s">
        <v>8</v>
      </c>
      <c r="I8" s="395" t="s">
        <v>20</v>
      </c>
    </row>
    <row r="9" spans="1:9" ht="12" customHeight="1">
      <c r="A9" s="366" t="s">
        <v>0</v>
      </c>
      <c r="B9" s="153">
        <v>8</v>
      </c>
      <c r="C9" s="154">
        <v>98</v>
      </c>
      <c r="D9" s="368">
        <f>SUM(B9:C9)</f>
        <v>106</v>
      </c>
      <c r="E9" s="140">
        <f>IF(D11=0,"",B9*D10/D9/B10)</f>
        <v>1.8113207547169812</v>
      </c>
      <c r="F9" s="140"/>
      <c r="G9" s="140">
        <f>IF(G11="","",EXP(G11))</f>
        <v>0.6111921939697097</v>
      </c>
      <c r="H9" s="24"/>
      <c r="I9" s="24"/>
    </row>
    <row r="10" spans="1:9" ht="12" customHeight="1">
      <c r="A10" s="367">
        <v>0</v>
      </c>
      <c r="B10" s="160">
        <v>5</v>
      </c>
      <c r="C10" s="161">
        <v>115</v>
      </c>
      <c r="D10" s="280">
        <f>SUM(B10:C10)</f>
        <v>120</v>
      </c>
      <c r="E10" s="140"/>
      <c r="F10" s="140"/>
      <c r="G10" s="140">
        <f>IF(G12="","",EXP(G12))</f>
        <v>5.368005201701075</v>
      </c>
      <c r="H10" s="24"/>
      <c r="I10" s="24"/>
    </row>
    <row r="11" spans="1:9" ht="12" customHeight="1">
      <c r="A11" s="34" t="s">
        <v>54</v>
      </c>
      <c r="B11" s="371">
        <f>SUM(B9:B10)</f>
        <v>13</v>
      </c>
      <c r="C11" s="372">
        <f>SUM(C9:C10)</f>
        <v>213</v>
      </c>
      <c r="D11" s="309">
        <f>SUM(B11:C11)</f>
        <v>226</v>
      </c>
      <c r="E11" s="240">
        <f>IF(E9="","",LN(E9))</f>
        <v>0.5940562779157145</v>
      </c>
      <c r="F11" s="240">
        <f>IF(D11=0,"",SQRT(1/B9+1/B10-1/D9-1/D10))</f>
        <v>0.5542857605987328</v>
      </c>
      <c r="G11" s="240">
        <f>IF(E11="","",E11-1.96*F11)</f>
        <v>-0.4923438128578018</v>
      </c>
      <c r="H11" s="240">
        <f>IF(F11="","",1/(F11^2))</f>
        <v>3.2548618219037873</v>
      </c>
      <c r="I11" s="240">
        <f>IF(E11="","",E11*H11)</f>
        <v>1.933571099050125</v>
      </c>
    </row>
    <row r="12" spans="1:9" ht="12" customHeight="1">
      <c r="A12" s="208"/>
      <c r="B12" s="209"/>
      <c r="C12" s="209"/>
      <c r="D12" s="44"/>
      <c r="E12" s="240"/>
      <c r="F12" s="240"/>
      <c r="G12" s="240">
        <f>IF(E11="","",E11+1.96*F11)</f>
        <v>1.6804563686892307</v>
      </c>
      <c r="H12" s="240"/>
      <c r="I12" s="240"/>
    </row>
    <row r="13" spans="1:9" ht="12" customHeight="1">
      <c r="A13" s="489" t="s">
        <v>149</v>
      </c>
      <c r="B13" s="490"/>
      <c r="C13" s="490"/>
      <c r="D13" s="491"/>
      <c r="E13" s="24"/>
      <c r="F13" s="24"/>
      <c r="G13" s="24"/>
      <c r="H13" s="24"/>
      <c r="I13" s="24"/>
    </row>
    <row r="14" spans="1:9" ht="12" customHeight="1">
      <c r="A14" s="58" t="s">
        <v>137</v>
      </c>
      <c r="B14" s="369" t="s">
        <v>1</v>
      </c>
      <c r="C14" s="370" t="s">
        <v>2</v>
      </c>
      <c r="D14" s="142" t="s">
        <v>54</v>
      </c>
      <c r="E14" s="175" t="s">
        <v>7</v>
      </c>
      <c r="F14" s="175" t="s">
        <v>4</v>
      </c>
      <c r="G14" s="175" t="s">
        <v>5</v>
      </c>
      <c r="H14" s="175"/>
      <c r="I14" s="175"/>
    </row>
    <row r="15" spans="1:9" ht="12" customHeight="1">
      <c r="A15" s="366" t="s">
        <v>0</v>
      </c>
      <c r="B15" s="153">
        <v>22</v>
      </c>
      <c r="C15" s="154">
        <v>76</v>
      </c>
      <c r="D15" s="368">
        <f>SUM(B15:C15)</f>
        <v>98</v>
      </c>
      <c r="E15" s="140">
        <f>IF(D17=0,"",B15*D16/D15/B16)</f>
        <v>1.1926020408163265</v>
      </c>
      <c r="F15" s="140"/>
      <c r="G15" s="140">
        <f>IF(G17="","",EXP(G17))</f>
        <v>0.6712593361353842</v>
      </c>
      <c r="H15" s="24"/>
      <c r="I15" s="24"/>
    </row>
    <row r="16" spans="1:9" ht="12" customHeight="1">
      <c r="A16" s="367">
        <v>0</v>
      </c>
      <c r="B16" s="160">
        <v>16</v>
      </c>
      <c r="C16" s="161">
        <v>69</v>
      </c>
      <c r="D16" s="280">
        <f>SUM(B16:C16)</f>
        <v>85</v>
      </c>
      <c r="E16" s="140"/>
      <c r="F16" s="140"/>
      <c r="G16" s="140">
        <f>IF(G18="","",EXP(G18))</f>
        <v>2.118852656780639</v>
      </c>
      <c r="H16" s="24"/>
      <c r="I16" s="24"/>
    </row>
    <row r="17" spans="1:9" ht="12" customHeight="1">
      <c r="A17" s="34" t="s">
        <v>54</v>
      </c>
      <c r="B17" s="371">
        <f>SUM(B15:B16)</f>
        <v>38</v>
      </c>
      <c r="C17" s="372">
        <f>SUM(C15:C16)</f>
        <v>145</v>
      </c>
      <c r="D17" s="309">
        <f>SUM(B17:C17)</f>
        <v>183</v>
      </c>
      <c r="E17" s="240">
        <f>IF(E15="","",LN(E15))</f>
        <v>0.17613750893827912</v>
      </c>
      <c r="F17" s="240">
        <f>IF(D17=0,"",SQRT(1/B15+1/B16-1/D15-1/D16))</f>
        <v>0.29323328245535063</v>
      </c>
      <c r="G17" s="240">
        <f>IF(E17="","",E17-1.96*F17)</f>
        <v>-0.39859972467420807</v>
      </c>
      <c r="H17" s="240">
        <f>IF(F17="","",1/(F17^2))</f>
        <v>11.629832939347306</v>
      </c>
      <c r="I17" s="240">
        <f>IF(E17="","",E17*H17)</f>
        <v>2.048449803304979</v>
      </c>
    </row>
    <row r="18" spans="1:9" ht="12" customHeight="1">
      <c r="A18" s="208"/>
      <c r="B18" s="209"/>
      <c r="C18" s="209"/>
      <c r="D18" s="44"/>
      <c r="E18" s="240"/>
      <c r="F18" s="240"/>
      <c r="G18" s="240">
        <f>IF(E17="","",E17+1.96*F17)</f>
        <v>0.7508747425507662</v>
      </c>
      <c r="H18" s="240"/>
      <c r="I18" s="240"/>
    </row>
    <row r="19" spans="1:9" ht="12" customHeight="1">
      <c r="A19" s="489"/>
      <c r="B19" s="490"/>
      <c r="C19" s="490"/>
      <c r="D19" s="491"/>
      <c r="E19" s="24"/>
      <c r="F19" s="24"/>
      <c r="G19" s="24"/>
      <c r="H19" s="24"/>
      <c r="I19" s="24"/>
    </row>
    <row r="20" spans="1:9" ht="12" customHeight="1">
      <c r="A20" s="58" t="s">
        <v>137</v>
      </c>
      <c r="B20" s="369" t="s">
        <v>1</v>
      </c>
      <c r="C20" s="370" t="s">
        <v>2</v>
      </c>
      <c r="D20" s="142" t="s">
        <v>54</v>
      </c>
      <c r="E20" s="175" t="s">
        <v>7</v>
      </c>
      <c r="F20" s="175" t="s">
        <v>4</v>
      </c>
      <c r="G20" s="175" t="s">
        <v>5</v>
      </c>
      <c r="H20" s="175"/>
      <c r="I20" s="175"/>
    </row>
    <row r="21" spans="1:9" ht="12" customHeight="1">
      <c r="A21" s="366" t="s">
        <v>0</v>
      </c>
      <c r="B21" s="153"/>
      <c r="C21" s="154"/>
      <c r="D21" s="368">
        <f>SUM(B21:C21)</f>
        <v>0</v>
      </c>
      <c r="E21" s="140">
        <f>IF(D23=0,"",B21*D22/D21/B22)</f>
      </c>
      <c r="F21" s="140"/>
      <c r="G21" s="140">
        <f>IF(G23="","",EXP(G23))</f>
      </c>
      <c r="H21" s="24"/>
      <c r="I21" s="24"/>
    </row>
    <row r="22" spans="1:9" ht="12" customHeight="1">
      <c r="A22" s="367">
        <v>0</v>
      </c>
      <c r="B22" s="160"/>
      <c r="C22" s="161"/>
      <c r="D22" s="280">
        <f>SUM(B22:C22)</f>
        <v>0</v>
      </c>
      <c r="E22" s="140"/>
      <c r="F22" s="140"/>
      <c r="G22" s="140">
        <f>IF(G24="","",EXP(G24))</f>
      </c>
      <c r="H22" s="24"/>
      <c r="I22" s="24"/>
    </row>
    <row r="23" spans="1:9" ht="12" customHeight="1">
      <c r="A23" s="34" t="s">
        <v>54</v>
      </c>
      <c r="B23" s="371">
        <f>SUM(B21:B22)</f>
        <v>0</v>
      </c>
      <c r="C23" s="372">
        <f>SUM(C21:C22)</f>
        <v>0</v>
      </c>
      <c r="D23" s="309">
        <f>SUM(B23:C23)</f>
        <v>0</v>
      </c>
      <c r="E23" s="240">
        <f>IF(E21="","",LN(E21))</f>
      </c>
      <c r="F23" s="240">
        <f>IF(D23=0,"",SQRT(1/B21+1/B22-1/D21-1/D22))</f>
      </c>
      <c r="G23" s="240">
        <f>IF(E23="","",E23-1.96*F23)</f>
      </c>
      <c r="H23" s="240">
        <f>IF(F23="","",1/(F23^2))</f>
      </c>
      <c r="I23" s="240">
        <f>IF(E23="","",E23*H23)</f>
      </c>
    </row>
    <row r="24" spans="1:9" ht="12" customHeight="1">
      <c r="A24" s="208"/>
      <c r="B24" s="209"/>
      <c r="C24" s="209"/>
      <c r="D24" s="44"/>
      <c r="E24" s="240"/>
      <c r="F24" s="240"/>
      <c r="G24" s="240">
        <f>IF(E23="","",E23+1.96*F23)</f>
      </c>
      <c r="H24" s="240"/>
      <c r="I24" s="240"/>
    </row>
    <row r="25" spans="1:9" ht="12" customHeight="1">
      <c r="A25" s="489"/>
      <c r="B25" s="490"/>
      <c r="C25" s="490"/>
      <c r="D25" s="491"/>
      <c r="E25" s="24"/>
      <c r="F25" s="24"/>
      <c r="G25" s="24"/>
      <c r="H25" s="24"/>
      <c r="I25" s="24"/>
    </row>
    <row r="26" spans="1:9" ht="12" customHeight="1">
      <c r="A26" s="58" t="s">
        <v>137</v>
      </c>
      <c r="B26" s="369" t="s">
        <v>1</v>
      </c>
      <c r="C26" s="370" t="s">
        <v>2</v>
      </c>
      <c r="D26" s="142" t="s">
        <v>54</v>
      </c>
      <c r="E26" s="175" t="s">
        <v>7</v>
      </c>
      <c r="F26" s="175" t="s">
        <v>4</v>
      </c>
      <c r="G26" s="175" t="s">
        <v>5</v>
      </c>
      <c r="H26" s="175"/>
      <c r="I26" s="175"/>
    </row>
    <row r="27" spans="1:9" ht="12" customHeight="1">
      <c r="A27" s="366" t="s">
        <v>0</v>
      </c>
      <c r="B27" s="153"/>
      <c r="C27" s="154"/>
      <c r="D27" s="368">
        <f>SUM(B27:C27)</f>
        <v>0</v>
      </c>
      <c r="E27" s="140">
        <f>IF(D29=0,"",B27*D28/D27/B28)</f>
      </c>
      <c r="F27" s="140"/>
      <c r="G27" s="140">
        <f>IF(G29="","",EXP(G29))</f>
      </c>
      <c r="H27" s="24"/>
      <c r="I27" s="24"/>
    </row>
    <row r="28" spans="1:9" ht="12" customHeight="1">
      <c r="A28" s="367">
        <v>0</v>
      </c>
      <c r="B28" s="160"/>
      <c r="C28" s="161"/>
      <c r="D28" s="280">
        <f>SUM(B28:C28)</f>
        <v>0</v>
      </c>
      <c r="E28" s="140"/>
      <c r="F28" s="140"/>
      <c r="G28" s="140">
        <f>IF(G30="","",EXP(G30))</f>
      </c>
      <c r="H28" s="24"/>
      <c r="I28" s="24"/>
    </row>
    <row r="29" spans="1:9" ht="12" customHeight="1">
      <c r="A29" s="34" t="s">
        <v>54</v>
      </c>
      <c r="B29" s="371">
        <f>SUM(B27:B28)</f>
        <v>0</v>
      </c>
      <c r="C29" s="372">
        <f>SUM(C27:C28)</f>
        <v>0</v>
      </c>
      <c r="D29" s="309">
        <f>SUM(B29:C29)</f>
        <v>0</v>
      </c>
      <c r="E29" s="240">
        <f>IF(E27="","",LN(E27))</f>
      </c>
      <c r="F29" s="240">
        <f>IF(D29=0,"",SQRT(1/B27+1/B28-1/D27-1/D28))</f>
      </c>
      <c r="G29" s="240">
        <f>IF(E29="","",E29-1.96*F29)</f>
      </c>
      <c r="H29" s="240">
        <f>IF(F29="","",1/(F29^2))</f>
      </c>
      <c r="I29" s="240">
        <f>IF(E29="","",E29*H29)</f>
      </c>
    </row>
    <row r="30" spans="1:9" ht="12" customHeight="1">
      <c r="A30" s="208"/>
      <c r="B30" s="209"/>
      <c r="C30" s="209"/>
      <c r="D30" s="44"/>
      <c r="E30" s="240"/>
      <c r="F30" s="240"/>
      <c r="G30" s="240">
        <f>IF(E29="","",E29+1.96*F29)</f>
      </c>
      <c r="H30" s="240"/>
      <c r="I30" s="240"/>
    </row>
    <row r="31" spans="1:9" ht="12" customHeight="1">
      <c r="A31" s="489"/>
      <c r="B31" s="490"/>
      <c r="C31" s="490"/>
      <c r="D31" s="491"/>
      <c r="E31" s="24"/>
      <c r="F31" s="24"/>
      <c r="G31" s="24"/>
      <c r="H31" s="24"/>
      <c r="I31" s="24"/>
    </row>
    <row r="32" spans="1:9" ht="12" customHeight="1">
      <c r="A32" s="58" t="s">
        <v>137</v>
      </c>
      <c r="B32" s="369" t="s">
        <v>1</v>
      </c>
      <c r="C32" s="370" t="s">
        <v>2</v>
      </c>
      <c r="D32" s="142" t="s">
        <v>54</v>
      </c>
      <c r="E32" s="175" t="s">
        <v>7</v>
      </c>
      <c r="F32" s="175" t="s">
        <v>4</v>
      </c>
      <c r="G32" s="175" t="s">
        <v>5</v>
      </c>
      <c r="H32" s="175"/>
      <c r="I32" s="175"/>
    </row>
    <row r="33" spans="1:9" ht="12" customHeight="1">
      <c r="A33" s="366" t="s">
        <v>0</v>
      </c>
      <c r="B33" s="153"/>
      <c r="C33" s="154"/>
      <c r="D33" s="368">
        <f>SUM(B33:C33)</f>
        <v>0</v>
      </c>
      <c r="E33" s="140">
        <f>IF(D35=0,"",B33*D34/D33/B34)</f>
      </c>
      <c r="F33" s="140"/>
      <c r="G33" s="140">
        <f>IF(G35="","",EXP(G35))</f>
      </c>
      <c r="H33" s="24"/>
      <c r="I33" s="24"/>
    </row>
    <row r="34" spans="1:9" ht="12" customHeight="1">
      <c r="A34" s="367">
        <v>0</v>
      </c>
      <c r="B34" s="160"/>
      <c r="C34" s="161"/>
      <c r="D34" s="280">
        <f>SUM(B34:C34)</f>
        <v>0</v>
      </c>
      <c r="E34" s="140"/>
      <c r="F34" s="140"/>
      <c r="G34" s="140">
        <f>IF(G37="","",EXP(G37))</f>
      </c>
      <c r="H34" s="24"/>
      <c r="I34" s="24"/>
    </row>
    <row r="35" spans="1:9" ht="12" customHeight="1">
      <c r="A35" s="34" t="s">
        <v>54</v>
      </c>
      <c r="B35" s="371">
        <f>SUM(B33:B34)</f>
        <v>0</v>
      </c>
      <c r="C35" s="372">
        <f>SUM(C33:C34)</f>
        <v>0</v>
      </c>
      <c r="D35" s="309">
        <f>SUM(B35:C35)</f>
        <v>0</v>
      </c>
      <c r="E35" s="240">
        <f>IF(E33="","",LN(E33))</f>
      </c>
      <c r="F35" s="240">
        <f>IF(D35=0,"",SQRT(1/B33+1/B34-1/D33-1/D34))</f>
      </c>
      <c r="G35" s="240">
        <f>IF(E35="","",E35-1.96*F35)</f>
      </c>
      <c r="H35" s="240">
        <f>IF(F35="","",1/(F35^2))</f>
      </c>
      <c r="I35" s="240">
        <f>IF(E35="","",E35*H35)</f>
      </c>
    </row>
    <row r="36" spans="1:9" ht="12" customHeight="1">
      <c r="A36" s="49"/>
      <c r="B36" s="49"/>
      <c r="C36" s="49"/>
      <c r="D36" s="49"/>
      <c r="E36" s="240"/>
      <c r="F36" s="240"/>
      <c r="G36" s="240"/>
      <c r="H36" s="240"/>
      <c r="I36" s="240"/>
    </row>
    <row r="37" spans="1:9" ht="12" customHeight="1">
      <c r="A37" s="208"/>
      <c r="B37" s="209"/>
      <c r="C37" s="209"/>
      <c r="D37" s="44"/>
      <c r="E37" s="240"/>
      <c r="F37" s="240"/>
      <c r="G37" s="240">
        <f>IF(E35="","",E35+1.96*F35)</f>
      </c>
      <c r="H37" s="240"/>
      <c r="I37" s="240"/>
    </row>
    <row r="38" spans="1:7" ht="12" customHeight="1">
      <c r="A38" s="210" t="s">
        <v>216</v>
      </c>
      <c r="B38" s="213"/>
      <c r="C38" s="213"/>
      <c r="D38" s="241"/>
      <c r="E38" s="242" t="s">
        <v>7</v>
      </c>
      <c r="F38" s="243" t="s">
        <v>4</v>
      </c>
      <c r="G38" s="244" t="s">
        <v>5</v>
      </c>
    </row>
    <row r="39" spans="1:10" ht="12" customHeight="1">
      <c r="A39" s="493" t="s">
        <v>217</v>
      </c>
      <c r="B39" s="494"/>
      <c r="C39" s="373">
        <v>1</v>
      </c>
      <c r="D39" s="40"/>
      <c r="E39" s="246">
        <f>EXP(E41)</f>
        <v>1.306725677468117</v>
      </c>
      <c r="F39" s="247"/>
      <c r="G39" s="248">
        <f>EXP(G41)</f>
        <v>0.786233333935657</v>
      </c>
      <c r="J39">
        <f>SUMIF(I11:I35,"&gt;0")</f>
        <v>3.982020902355104</v>
      </c>
    </row>
    <row r="40" spans="1:10" ht="12" customHeight="1">
      <c r="A40" s="245" t="s">
        <v>22</v>
      </c>
      <c r="B40" s="217">
        <f>E41/F41</f>
        <v>1.0321280212276531</v>
      </c>
      <c r="C40" s="40"/>
      <c r="D40" s="40"/>
      <c r="E40" s="123"/>
      <c r="F40" s="176"/>
      <c r="G40" s="218">
        <f>EXP(G42)</f>
        <v>2.171787842684178</v>
      </c>
      <c r="H40" s="24"/>
      <c r="I40" s="24"/>
      <c r="J40">
        <f>SUMIF(I11:I35,"&lt;0")</f>
        <v>0</v>
      </c>
    </row>
    <row r="41" spans="1:9" ht="12" customHeight="1">
      <c r="A41" s="94" t="s">
        <v>129</v>
      </c>
      <c r="B41" s="69">
        <f>2*(1-NORMSDIST(ABS(B40)))</f>
        <v>0.30201214856809666</v>
      </c>
      <c r="C41" s="44"/>
      <c r="D41" s="44"/>
      <c r="E41" s="180">
        <f>I41/H41</f>
        <v>0.26752452544216</v>
      </c>
      <c r="F41" s="180">
        <f>SQRT(1/H41)</f>
        <v>0.25919703751861706</v>
      </c>
      <c r="G41" s="180">
        <f>E41-1.96*F41</f>
        <v>-0.24050166809432938</v>
      </c>
      <c r="H41" s="180">
        <f>SUMIF(H11:H40,"&gt;0")</f>
        <v>14.884694761251094</v>
      </c>
      <c r="I41" s="180">
        <f>SUM(J39:J40)</f>
        <v>3.982020902355104</v>
      </c>
    </row>
    <row r="42" spans="1:9" ht="12" customHeight="1">
      <c r="A42" s="24"/>
      <c r="B42" s="24"/>
      <c r="C42" s="24"/>
      <c r="D42" s="24"/>
      <c r="E42" s="180"/>
      <c r="F42" s="180"/>
      <c r="G42" s="180">
        <f>E41+1.96*F41</f>
        <v>0.7755507189786494</v>
      </c>
      <c r="H42" s="180"/>
      <c r="I42" s="180"/>
    </row>
    <row r="43" spans="1:9" ht="12" customHeight="1">
      <c r="A43" s="24"/>
      <c r="B43" s="24"/>
      <c r="C43" s="24"/>
      <c r="D43" s="24"/>
      <c r="E43" s="180"/>
      <c r="F43" s="180"/>
      <c r="G43" s="180"/>
      <c r="H43" s="180"/>
      <c r="I43" s="180"/>
    </row>
    <row r="44" spans="1:9" ht="12" customHeight="1">
      <c r="A44" s="25" t="s">
        <v>27</v>
      </c>
      <c r="B44" s="24"/>
      <c r="C44" s="24"/>
      <c r="D44" s="24"/>
      <c r="E44" s="24"/>
      <c r="F44" s="24"/>
      <c r="G44" s="24"/>
      <c r="H44" s="24"/>
      <c r="I44" s="24"/>
    </row>
    <row r="45" spans="1:7" ht="12" customHeight="1">
      <c r="A45" s="58" t="s">
        <v>137</v>
      </c>
      <c r="B45" s="369" t="s">
        <v>1</v>
      </c>
      <c r="C45" s="370" t="s">
        <v>2</v>
      </c>
      <c r="D45" s="142" t="s">
        <v>54</v>
      </c>
      <c r="E45" s="173" t="s">
        <v>7</v>
      </c>
      <c r="F45" s="171" t="s">
        <v>4</v>
      </c>
      <c r="G45" s="174" t="s">
        <v>5</v>
      </c>
    </row>
    <row r="46" spans="1:7" ht="12" customHeight="1">
      <c r="A46" s="366" t="s">
        <v>0</v>
      </c>
      <c r="B46" s="220">
        <f>SUM(B9,B15,B21,B27,B33)</f>
        <v>30</v>
      </c>
      <c r="C46" s="221">
        <f>SUM(C9,C15,C21,C27,C33)</f>
        <v>174</v>
      </c>
      <c r="D46" s="368">
        <f>SUM(B46:C46)</f>
        <v>204</v>
      </c>
      <c r="E46" s="222">
        <f>B46*D47/D46/B47</f>
        <v>1.4355742296918768</v>
      </c>
      <c r="F46" s="155"/>
      <c r="G46" s="216">
        <f>EXP(G48)</f>
        <v>0.8510138968790347</v>
      </c>
    </row>
    <row r="47" spans="1:9" ht="12" customHeight="1">
      <c r="A47" s="367">
        <v>0</v>
      </c>
      <c r="B47" s="223">
        <f>SUM(B10,B16,B22,B28,B34)</f>
        <v>21</v>
      </c>
      <c r="C47" s="224">
        <f>SUM(C10,C16,C22,C28,C34)</f>
        <v>184</v>
      </c>
      <c r="D47" s="280">
        <f>SUM(B47:C47)</f>
        <v>205</v>
      </c>
      <c r="E47" s="123"/>
      <c r="F47" s="176"/>
      <c r="G47" s="218">
        <f>EXP(G49)</f>
        <v>2.4216682906276477</v>
      </c>
      <c r="H47" s="24"/>
      <c r="I47" s="24"/>
    </row>
    <row r="48" spans="1:9" ht="12" customHeight="1">
      <c r="A48" s="34" t="s">
        <v>54</v>
      </c>
      <c r="B48" s="371">
        <f>SUM(B46:B47)</f>
        <v>51</v>
      </c>
      <c r="C48" s="372">
        <f>SUM(C46:C47)</f>
        <v>358</v>
      </c>
      <c r="D48" s="309">
        <f>SUM(B48:C48)</f>
        <v>409</v>
      </c>
      <c r="E48" s="180">
        <f>LN(E46)</f>
        <v>0.36156492923292416</v>
      </c>
      <c r="F48" s="180">
        <f>SQRT(1/B46+1/B47-1/D46-1/D47)</f>
        <v>0.26678150495785763</v>
      </c>
      <c r="G48" s="180">
        <f>E48-1.96*F48</f>
        <v>-0.16132682048447677</v>
      </c>
      <c r="H48" s="24"/>
      <c r="I48" s="24"/>
    </row>
    <row r="49" spans="4:9" ht="12" customHeight="1">
      <c r="D49" s="44"/>
      <c r="E49" s="180"/>
      <c r="F49" s="180"/>
      <c r="G49" s="180">
        <f>E48+1.96*F48</f>
        <v>0.8844566789503251</v>
      </c>
      <c r="H49" s="24"/>
      <c r="I49" s="24"/>
    </row>
    <row r="50" spans="1:3" ht="12.75">
      <c r="A50" s="492" t="s">
        <v>217</v>
      </c>
      <c r="B50" s="492"/>
      <c r="C50" s="373">
        <v>1</v>
      </c>
    </row>
    <row r="51" spans="1:2" ht="12.75">
      <c r="A51" s="44" t="s">
        <v>22</v>
      </c>
      <c r="B51" s="184">
        <f>E48/F48</f>
        <v>1.3552848398918773</v>
      </c>
    </row>
    <row r="52" spans="1:2" ht="12.75">
      <c r="A52" s="44" t="s">
        <v>129</v>
      </c>
      <c r="B52" s="135">
        <f>2*(1-NORMSDIST(ABS(B51)))</f>
        <v>0.17532682318762305</v>
      </c>
    </row>
  </sheetData>
  <sheetProtection sheet="1" objects="1" scenarios="1"/>
  <mergeCells count="11">
    <mergeCell ref="A50:B50"/>
    <mergeCell ref="A39:B39"/>
    <mergeCell ref="C1:G1"/>
    <mergeCell ref="A19:D19"/>
    <mergeCell ref="A25:D25"/>
    <mergeCell ref="A31:D31"/>
    <mergeCell ref="A4:G4"/>
    <mergeCell ref="A5:G5"/>
    <mergeCell ref="A7:D7"/>
    <mergeCell ref="A13:D13"/>
    <mergeCell ref="I1:I2"/>
  </mergeCells>
  <hyperlinks>
    <hyperlink ref="I1:I2" location="Start!A1" display="Start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Epidemiology and Social Medicine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Svend Juul</dc:creator>
  <cp:keywords/>
  <dc:description/>
  <cp:lastModifiedBy>Svend Juul</cp:lastModifiedBy>
  <cp:lastPrinted>2004-12-14T12:30:23Z</cp:lastPrinted>
  <dcterms:created xsi:type="dcterms:W3CDTF">2002-02-18T07:44:04Z</dcterms:created>
  <dcterms:modified xsi:type="dcterms:W3CDTF">2004-12-14T12:31:29Z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